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E:\KJMALLYA NEW 2017\KJMALLYA\SEBI LODR Regulations\Compliances QE Dec 19\"/>
    </mc:Choice>
  </mc:AlternateContent>
  <xr:revisionPtr revIDLastSave="0" documentId="13_ncr:1_{5B40C89A-6D09-40F2-BB20-EC87F4CC2AE4}" xr6:coauthVersionLast="45" xr6:coauthVersionMax="45" xr10:uidLastSave="{00000000-0000-0000-0000-000000000000}"/>
  <bookViews>
    <workbookView xWindow="-120" yWindow="-120" windowWidth="20730" windowHeight="11160" activeTab="1" xr2:uid="{00000000-000D-0000-FFFF-FFFF00000000}"/>
  </bookViews>
  <sheets>
    <sheet name="Summary" sheetId="1" r:id="rId1"/>
    <sheet name="TABLE-I" sheetId="2" r:id="rId2"/>
    <sheet name="TABLE-II" sheetId="3" r:id="rId3"/>
    <sheet name="TABLE-III" sheetId="4" r:id="rId4"/>
    <sheet name="TABLE-IV" sheetId="5" r:id="rId5"/>
    <sheet name="1% and above" sheetId="7" r:id="rId6"/>
  </sheets>
  <definedNames>
    <definedName name="_xlnm.Print_Area" localSheetId="2">'TABLE-II'!$A$1:$R$70</definedName>
    <definedName name="_xlnm.Print_Titles" localSheetId="0">Summary!$5:$7</definedName>
    <definedName name="_xlnm.Print_Titles" localSheetId="2">'TABLE-II'!$1:$6</definedName>
    <definedName name="_xlnm.Print_Titles" localSheetId="4">'TABLE-IV'!$4:$6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3" i="3" l="1"/>
  <c r="J33" i="3"/>
  <c r="E33" i="3"/>
  <c r="R35" i="3"/>
  <c r="J35" i="3"/>
  <c r="E35" i="3"/>
  <c r="P37" i="4" l="1"/>
  <c r="P38" i="4" s="1"/>
  <c r="E53" i="3" l="1"/>
  <c r="E11" i="3"/>
  <c r="E36" i="3"/>
  <c r="H37" i="4" l="1"/>
  <c r="E37" i="4"/>
  <c r="K35" i="4" l="1"/>
  <c r="M23" i="4"/>
  <c r="M19" i="4" s="1"/>
  <c r="J55" i="3" l="1"/>
  <c r="K55" i="3" s="1"/>
  <c r="I34" i="4"/>
  <c r="E37" i="3" l="1"/>
  <c r="H53" i="3"/>
  <c r="E12" i="3"/>
  <c r="E55" i="3" s="1"/>
  <c r="R37" i="4" l="1"/>
  <c r="J37" i="4"/>
  <c r="K37" i="4" s="1"/>
  <c r="D37" i="4"/>
  <c r="M36" i="4"/>
  <c r="K36" i="4"/>
  <c r="I36" i="4"/>
  <c r="Q49" i="3" l="1"/>
  <c r="D12" i="7" l="1"/>
  <c r="D17" i="4" l="1"/>
  <c r="P55" i="3" l="1"/>
  <c r="Q54" i="3" l="1"/>
  <c r="K54" i="3"/>
  <c r="H54" i="3"/>
  <c r="M54" i="3" s="1"/>
  <c r="Q50" i="3"/>
  <c r="K50" i="3"/>
  <c r="H50" i="3"/>
  <c r="M50" i="3" s="1"/>
  <c r="R55" i="3"/>
  <c r="H17" i="4"/>
  <c r="K49" i="3"/>
  <c r="Q12" i="3"/>
  <c r="R12" i="7"/>
  <c r="J12" i="7"/>
  <c r="M12" i="7" s="1"/>
  <c r="H12" i="7"/>
  <c r="I12" i="7" s="1"/>
  <c r="E12" i="7"/>
  <c r="R17" i="4"/>
  <c r="L17" i="4"/>
  <c r="J17" i="4"/>
  <c r="K17" i="4" s="1"/>
  <c r="E17" i="4"/>
  <c r="Q37" i="4"/>
  <c r="Q38" i="4" s="1"/>
  <c r="O17" i="4"/>
  <c r="N17" i="4"/>
  <c r="G17" i="4"/>
  <c r="F17" i="4"/>
  <c r="M16" i="4"/>
  <c r="K16" i="4"/>
  <c r="I16" i="4"/>
  <c r="N37" i="4"/>
  <c r="O37" i="4"/>
  <c r="L37" i="4"/>
  <c r="G37" i="4"/>
  <c r="F37" i="4"/>
  <c r="N12" i="7"/>
  <c r="L12" i="7"/>
  <c r="G12" i="7"/>
  <c r="F12" i="7"/>
  <c r="I9" i="7"/>
  <c r="K9" i="7"/>
  <c r="M9" i="7"/>
  <c r="M11" i="7"/>
  <c r="K11" i="7"/>
  <c r="I11" i="7"/>
  <c r="K10" i="7"/>
  <c r="O8" i="7"/>
  <c r="O12" i="7" s="1"/>
  <c r="M8" i="7"/>
  <c r="K8" i="7"/>
  <c r="I8" i="7"/>
  <c r="Q38" i="3"/>
  <c r="Q25" i="3"/>
  <c r="Q24" i="3"/>
  <c r="Q23" i="3"/>
  <c r="Q22" i="3"/>
  <c r="Q11" i="3"/>
  <c r="Q31" i="3"/>
  <c r="Q26" i="3"/>
  <c r="Q28" i="3"/>
  <c r="Q20" i="3"/>
  <c r="Q21" i="3"/>
  <c r="Q19" i="3"/>
  <c r="Q32" i="3"/>
  <c r="Q33" i="3"/>
  <c r="Q34" i="3"/>
  <c r="Q35" i="3"/>
  <c r="Q36" i="3"/>
  <c r="Q37" i="3"/>
  <c r="Q40" i="3"/>
  <c r="Q41" i="3"/>
  <c r="Q42" i="3"/>
  <c r="Q43" i="3"/>
  <c r="Q44" i="3"/>
  <c r="Q45" i="3"/>
  <c r="Q46" i="3"/>
  <c r="Q47" i="3"/>
  <c r="Q48" i="3"/>
  <c r="Q51" i="3"/>
  <c r="Q52" i="3"/>
  <c r="Q53" i="3"/>
  <c r="Q13" i="3"/>
  <c r="Q14" i="3"/>
  <c r="Q15" i="3"/>
  <c r="Q16" i="3"/>
  <c r="Q17" i="3"/>
  <c r="Q18" i="3"/>
  <c r="Q9" i="3"/>
  <c r="Q10" i="3"/>
  <c r="M55" i="3"/>
  <c r="K34" i="4"/>
  <c r="K33" i="4"/>
  <c r="K32" i="4"/>
  <c r="K31" i="4"/>
  <c r="K30" i="4"/>
  <c r="K29" i="4"/>
  <c r="K28" i="4"/>
  <c r="K27" i="4"/>
  <c r="K26" i="4"/>
  <c r="K25" i="4"/>
  <c r="K24" i="4"/>
  <c r="K23" i="4"/>
  <c r="K22" i="4"/>
  <c r="K21" i="4"/>
  <c r="K20" i="4"/>
  <c r="K18" i="4"/>
  <c r="K15" i="4"/>
  <c r="K14" i="4"/>
  <c r="K13" i="4"/>
  <c r="K12" i="4"/>
  <c r="K11" i="4"/>
  <c r="K10" i="4"/>
  <c r="K9" i="4"/>
  <c r="K8" i="4"/>
  <c r="J13" i="2"/>
  <c r="J12" i="2"/>
  <c r="Q61" i="3"/>
  <c r="Q60" i="3"/>
  <c r="Q59" i="3"/>
  <c r="Q58" i="3"/>
  <c r="Q57" i="3"/>
  <c r="H11" i="3"/>
  <c r="I11" i="3" s="1"/>
  <c r="K53" i="3"/>
  <c r="K52" i="3"/>
  <c r="H52" i="3"/>
  <c r="M52" i="3" s="1"/>
  <c r="K60" i="3"/>
  <c r="K61" i="3"/>
  <c r="K58" i="3"/>
  <c r="K59" i="3"/>
  <c r="K57" i="3"/>
  <c r="K48" i="3"/>
  <c r="K47" i="3"/>
  <c r="K46" i="3"/>
  <c r="K45" i="3"/>
  <c r="K44" i="3"/>
  <c r="K43" i="3"/>
  <c r="K42" i="3"/>
  <c r="K41" i="3"/>
  <c r="K40" i="3"/>
  <c r="K38" i="3"/>
  <c r="K37" i="3"/>
  <c r="K36" i="3"/>
  <c r="K35" i="3"/>
  <c r="K34" i="3"/>
  <c r="K33" i="3"/>
  <c r="K32" i="3"/>
  <c r="K31" i="3"/>
  <c r="K28" i="3"/>
  <c r="K27" i="3"/>
  <c r="K26" i="3"/>
  <c r="K25" i="3"/>
  <c r="K24" i="3"/>
  <c r="K23" i="3"/>
  <c r="K22" i="3"/>
  <c r="K21" i="3"/>
  <c r="K20" i="3"/>
  <c r="K19" i="3"/>
  <c r="K18" i="3"/>
  <c r="K17" i="3"/>
  <c r="K16" i="3"/>
  <c r="K15" i="3"/>
  <c r="K14" i="3"/>
  <c r="K13" i="3"/>
  <c r="K12" i="3"/>
  <c r="K11" i="3"/>
  <c r="K10" i="3"/>
  <c r="K9" i="3"/>
  <c r="H48" i="3"/>
  <c r="I48" i="3" s="1"/>
  <c r="H47" i="3"/>
  <c r="I47" i="3" s="1"/>
  <c r="H46" i="3"/>
  <c r="I46" i="3" s="1"/>
  <c r="H45" i="3"/>
  <c r="I45" i="3" s="1"/>
  <c r="H44" i="3"/>
  <c r="I44" i="3" s="1"/>
  <c r="H43" i="3"/>
  <c r="I43" i="3" s="1"/>
  <c r="H42" i="3"/>
  <c r="I42" i="3" s="1"/>
  <c r="H41" i="3"/>
  <c r="I41" i="3" s="1"/>
  <c r="H40" i="3"/>
  <c r="I40" i="3" s="1"/>
  <c r="H39" i="3"/>
  <c r="I39" i="3" s="1"/>
  <c r="H38" i="3"/>
  <c r="I38" i="3" s="1"/>
  <c r="H37" i="3"/>
  <c r="H36" i="3"/>
  <c r="I36" i="3" s="1"/>
  <c r="H35" i="3"/>
  <c r="I35" i="3" s="1"/>
  <c r="H34" i="3"/>
  <c r="I34" i="3" s="1"/>
  <c r="H33" i="3"/>
  <c r="I33" i="3" s="1"/>
  <c r="H32" i="3"/>
  <c r="I32" i="3" s="1"/>
  <c r="H31" i="3"/>
  <c r="I31" i="3" s="1"/>
  <c r="H28" i="3"/>
  <c r="I28" i="3" s="1"/>
  <c r="H27" i="3"/>
  <c r="I27" i="3" s="1"/>
  <c r="H10" i="3"/>
  <c r="I10" i="3" s="1"/>
  <c r="H12" i="3"/>
  <c r="I12" i="3" s="1"/>
  <c r="H13" i="3"/>
  <c r="I13" i="3" s="1"/>
  <c r="H14" i="3"/>
  <c r="I14" i="3" s="1"/>
  <c r="H15" i="3"/>
  <c r="I15" i="3" s="1"/>
  <c r="H16" i="3"/>
  <c r="I16" i="3" s="1"/>
  <c r="H17" i="3"/>
  <c r="I17" i="3" s="1"/>
  <c r="H18" i="3"/>
  <c r="I18" i="3" s="1"/>
  <c r="H19" i="3"/>
  <c r="I19" i="3" s="1"/>
  <c r="H20" i="3"/>
  <c r="I20" i="3" s="1"/>
  <c r="H21" i="3"/>
  <c r="I21" i="3" s="1"/>
  <c r="H22" i="3"/>
  <c r="I22" i="3" s="1"/>
  <c r="H23" i="3"/>
  <c r="I23" i="3" s="1"/>
  <c r="H24" i="3"/>
  <c r="I24" i="3" s="1"/>
  <c r="H25" i="3"/>
  <c r="I25" i="3" s="1"/>
  <c r="H26" i="3"/>
  <c r="I26" i="3" s="1"/>
  <c r="H9" i="3"/>
  <c r="I9" i="3" s="1"/>
  <c r="A32" i="3"/>
  <c r="A33" i="3" s="1"/>
  <c r="A34" i="3" s="1"/>
  <c r="A35" i="3" s="1"/>
  <c r="A36" i="3" s="1"/>
  <c r="A37" i="3" s="1"/>
  <c r="A38" i="3" s="1"/>
  <c r="A39" i="3" s="1"/>
  <c r="A40" i="3" s="1"/>
  <c r="A41" i="3" s="1"/>
  <c r="A42" i="3" s="1"/>
  <c r="A43" i="3" s="1"/>
  <c r="A44" i="3" s="1"/>
  <c r="A45" i="3" s="1"/>
  <c r="A46" i="3" s="1"/>
  <c r="A47" i="3" s="1"/>
  <c r="A48" i="3" s="1"/>
  <c r="A10" i="3"/>
  <c r="T10" i="5"/>
  <c r="Q10" i="5"/>
  <c r="P10" i="5"/>
  <c r="N10" i="5"/>
  <c r="K10" i="5"/>
  <c r="J10" i="5"/>
  <c r="H10" i="5"/>
  <c r="G10" i="5"/>
  <c r="F10" i="5"/>
  <c r="E10" i="5"/>
  <c r="D10" i="5"/>
  <c r="O8" i="5"/>
  <c r="L8" i="5"/>
  <c r="M8" i="5" s="1"/>
  <c r="I8" i="5"/>
  <c r="O7" i="5"/>
  <c r="L7" i="5"/>
  <c r="I7" i="5"/>
  <c r="M35" i="4"/>
  <c r="I35" i="4"/>
  <c r="M34" i="4"/>
  <c r="M33" i="4"/>
  <c r="I33" i="4"/>
  <c r="M32" i="4"/>
  <c r="I32" i="4"/>
  <c r="M31" i="4"/>
  <c r="I31" i="4"/>
  <c r="M30" i="4"/>
  <c r="I30" i="4"/>
  <c r="M29" i="4"/>
  <c r="I29" i="4"/>
  <c r="M28" i="4"/>
  <c r="I28" i="4"/>
  <c r="M27" i="4"/>
  <c r="I27" i="4"/>
  <c r="M25" i="4"/>
  <c r="I25" i="4"/>
  <c r="M24" i="4"/>
  <c r="I24" i="4"/>
  <c r="I23" i="4"/>
  <c r="M22" i="4"/>
  <c r="I22" i="4"/>
  <c r="M21" i="4"/>
  <c r="I21" i="4"/>
  <c r="R19" i="4"/>
  <c r="Q19" i="4"/>
  <c r="P19" i="4"/>
  <c r="O19" i="4"/>
  <c r="N19" i="4"/>
  <c r="L19" i="4"/>
  <c r="J19" i="4"/>
  <c r="K19" i="4" s="1"/>
  <c r="H19" i="4"/>
  <c r="G19" i="4"/>
  <c r="F19" i="4"/>
  <c r="E19" i="4"/>
  <c r="D19" i="4"/>
  <c r="M18" i="4"/>
  <c r="I18" i="4"/>
  <c r="I19" i="4" s="1"/>
  <c r="M15" i="4"/>
  <c r="I15" i="4"/>
  <c r="M14" i="4"/>
  <c r="I14" i="4"/>
  <c r="M13" i="4"/>
  <c r="I13" i="4"/>
  <c r="M12" i="4"/>
  <c r="I12" i="4"/>
  <c r="M11" i="4"/>
  <c r="I11" i="4"/>
  <c r="M10" i="4"/>
  <c r="I10" i="4"/>
  <c r="M9" i="4"/>
  <c r="I9" i="4"/>
  <c r="M8" i="4"/>
  <c r="I8" i="4"/>
  <c r="R62" i="3"/>
  <c r="P62" i="3"/>
  <c r="O62" i="3"/>
  <c r="N62" i="3"/>
  <c r="L62" i="3"/>
  <c r="J62" i="3"/>
  <c r="H62" i="3"/>
  <c r="G62" i="3"/>
  <c r="F62" i="3"/>
  <c r="E62" i="3"/>
  <c r="D62" i="3"/>
  <c r="D63" i="3" s="1"/>
  <c r="C9" i="2" s="1"/>
  <c r="M61" i="3"/>
  <c r="I61" i="3"/>
  <c r="M60" i="3"/>
  <c r="I60" i="3"/>
  <c r="M59" i="3"/>
  <c r="I59" i="3"/>
  <c r="M58" i="3"/>
  <c r="I58" i="3"/>
  <c r="M57" i="3"/>
  <c r="I57" i="3"/>
  <c r="O55" i="3"/>
  <c r="N55" i="3"/>
  <c r="L55" i="3"/>
  <c r="G55" i="3"/>
  <c r="F55" i="3"/>
  <c r="F63" i="3" s="1"/>
  <c r="M15" i="2"/>
  <c r="K15" i="2"/>
  <c r="F15" i="2"/>
  <c r="E15" i="2"/>
  <c r="L13" i="2"/>
  <c r="H13" i="2"/>
  <c r="N10" i="2"/>
  <c r="N9" i="2"/>
  <c r="H38" i="4" l="1"/>
  <c r="G10" i="2" s="1"/>
  <c r="K12" i="7"/>
  <c r="N63" i="3"/>
  <c r="M37" i="4"/>
  <c r="I37" i="4"/>
  <c r="I10" i="5"/>
  <c r="I54" i="3"/>
  <c r="L10" i="5"/>
  <c r="O10" i="5"/>
  <c r="Q62" i="3"/>
  <c r="D38" i="4"/>
  <c r="I37" i="3"/>
  <c r="O63" i="3"/>
  <c r="I50" i="3"/>
  <c r="G63" i="3"/>
  <c r="R63" i="3"/>
  <c r="Q9" i="2" s="1"/>
  <c r="Q55" i="3"/>
  <c r="L63" i="3"/>
  <c r="M28" i="3"/>
  <c r="M7" i="5"/>
  <c r="M10" i="5" s="1"/>
  <c r="E38" i="4"/>
  <c r="H10" i="2"/>
  <c r="J38" i="4"/>
  <c r="K38" i="4" s="1"/>
  <c r="M17" i="4"/>
  <c r="I17" i="4"/>
  <c r="H49" i="3"/>
  <c r="H55" i="3" s="1"/>
  <c r="I55" i="3" s="1"/>
  <c r="R38" i="4"/>
  <c r="J63" i="3"/>
  <c r="I9" i="2" s="1"/>
  <c r="M27" i="3"/>
  <c r="G38" i="4"/>
  <c r="N38" i="4"/>
  <c r="F38" i="4"/>
  <c r="L38" i="4"/>
  <c r="O38" i="4"/>
  <c r="P63" i="3"/>
  <c r="O9" i="2" s="1"/>
  <c r="A11" i="3"/>
  <c r="A12" i="3" s="1"/>
  <c r="A13" i="3" s="1"/>
  <c r="A14" i="3" s="1"/>
  <c r="A15" i="3" s="1"/>
  <c r="A16" i="3" s="1"/>
  <c r="A17" i="3" s="1"/>
  <c r="A18" i="3" s="1"/>
  <c r="A19" i="3" s="1"/>
  <c r="A20" i="3" s="1"/>
  <c r="A21" i="3" s="1"/>
  <c r="I53" i="3"/>
  <c r="M53" i="3"/>
  <c r="I52" i="3"/>
  <c r="M9" i="3"/>
  <c r="M33" i="3"/>
  <c r="M34" i="3"/>
  <c r="M35" i="3"/>
  <c r="M36" i="3"/>
  <c r="M37" i="3"/>
  <c r="M38" i="3"/>
  <c r="M39" i="3"/>
  <c r="M40" i="3"/>
  <c r="M41" i="3"/>
  <c r="M42" i="3"/>
  <c r="M43" i="3"/>
  <c r="M44" i="3"/>
  <c r="M45" i="3"/>
  <c r="M46" i="3"/>
  <c r="M47" i="3"/>
  <c r="M48" i="3"/>
  <c r="M31" i="3"/>
  <c r="M32" i="3"/>
  <c r="E63" i="3"/>
  <c r="D9" i="2" s="1"/>
  <c r="M10" i="3"/>
  <c r="M12" i="3"/>
  <c r="M14" i="3"/>
  <c r="M16" i="3"/>
  <c r="M18" i="3"/>
  <c r="M20" i="3"/>
  <c r="M23" i="3"/>
  <c r="M25" i="3"/>
  <c r="M11" i="3"/>
  <c r="M13" i="3"/>
  <c r="M15" i="3"/>
  <c r="M17" i="3"/>
  <c r="M19" i="3"/>
  <c r="M21" i="3"/>
  <c r="M22" i="3"/>
  <c r="M24" i="3"/>
  <c r="M26" i="3"/>
  <c r="I62" i="3"/>
  <c r="M62" i="3"/>
  <c r="M63" i="3" s="1"/>
  <c r="K62" i="3"/>
  <c r="Q10" i="2" l="1"/>
  <c r="Q15" i="2" s="1"/>
  <c r="C10" i="2"/>
  <c r="C15" i="2" s="1"/>
  <c r="A22" i="3"/>
  <c r="A23" i="3" s="1"/>
  <c r="A24" i="3" s="1"/>
  <c r="A25" i="3" s="1"/>
  <c r="A26" i="3" s="1"/>
  <c r="I63" i="3"/>
  <c r="D10" i="2"/>
  <c r="D15" i="2" s="1"/>
  <c r="M38" i="4"/>
  <c r="I38" i="4"/>
  <c r="M49" i="3"/>
  <c r="I49" i="3"/>
  <c r="H63" i="3"/>
  <c r="G9" i="2" s="1"/>
  <c r="H9" i="2" s="1"/>
  <c r="H15" i="2" s="1"/>
  <c r="L10" i="2"/>
  <c r="I10" i="2"/>
  <c r="J10" i="2" s="1"/>
  <c r="J9" i="2"/>
  <c r="P9" i="2"/>
  <c r="P15" i="2" s="1"/>
  <c r="O15" i="2"/>
  <c r="Q63" i="3"/>
  <c r="K63" i="3"/>
  <c r="L9" i="2" l="1"/>
  <c r="L15" i="2" s="1"/>
  <c r="G15" i="2"/>
  <c r="N15" i="2" s="1"/>
  <c r="J15" i="2"/>
  <c r="I15" i="2"/>
</calcChain>
</file>

<file path=xl/sharedStrings.xml><?xml version="1.0" encoding="utf-8"?>
<sst xmlns="http://schemas.openxmlformats.org/spreadsheetml/2006/main" count="481" uniqueCount="235">
  <si>
    <t>1.</t>
  </si>
  <si>
    <t>2.</t>
  </si>
  <si>
    <t>3.</t>
  </si>
  <si>
    <t>4.</t>
  </si>
  <si>
    <t>Declaration : The Listed entity is required to submit the following declaration to the extent of submission of information:</t>
  </si>
  <si>
    <t>Particulars</t>
  </si>
  <si>
    <t>YES*</t>
  </si>
  <si>
    <t>NO*</t>
  </si>
  <si>
    <t>a</t>
  </si>
  <si>
    <t>Whether the Listed Entity has issued any partly paid up shares</t>
  </si>
  <si>
    <t>b</t>
  </si>
  <si>
    <t>Whether the Listed Entity has issued any Convertible Securities or Warrants?</t>
  </si>
  <si>
    <t>c</t>
  </si>
  <si>
    <t>Whether the Listed Entity has any shares against which depository receipts are issued?</t>
  </si>
  <si>
    <t>d</t>
  </si>
  <si>
    <t>Whethere the Listed Entity has any shares in locked-in?</t>
  </si>
  <si>
    <t>e</t>
  </si>
  <si>
    <t>Whethere any shares held by promoters are pledge or otherwise encumbered?</t>
  </si>
  <si>
    <t>5</t>
  </si>
  <si>
    <t>The tabular format for disclosure of holding of specified securities is as follows:</t>
  </si>
  <si>
    <t xml:space="preserve">Category </t>
  </si>
  <si>
    <t>Table I - Summary Statement holding of specified securities</t>
  </si>
  <si>
    <t>Category of Shareholder</t>
  </si>
  <si>
    <t>No of Shareholders</t>
  </si>
  <si>
    <t>No of fully paid up equity shares held</t>
  </si>
  <si>
    <t>No of Partly paid-up equity shares held</t>
  </si>
  <si>
    <t>No of Shares Underlying Depository Receipts</t>
  </si>
  <si>
    <t>Total No of Shares Held</t>
  </si>
  <si>
    <t>Shareholding as a % of total no of shares</t>
  </si>
  <si>
    <t>Number of Voting Rights held in each class of securities</t>
  </si>
  <si>
    <t>No of Shares Underlying Outstanding converttible securities (Including Warrants)</t>
  </si>
  <si>
    <t>Shareholding as a % assuming full conversion of convertible Securities (as a percentage of diluted share capital)</t>
  </si>
  <si>
    <t>Number of Locked in Shares</t>
  </si>
  <si>
    <t>Number of Shares pledged or otherwise encumbered</t>
  </si>
  <si>
    <t>Number of equity shares held in dematerialized form</t>
  </si>
  <si>
    <t>No of Voting Rights</t>
  </si>
  <si>
    <t>Total as a % of (A+B+C)</t>
  </si>
  <si>
    <t>No.</t>
  </si>
  <si>
    <t>As a % of total Shares held</t>
  </si>
  <si>
    <t>Class X</t>
  </si>
  <si>
    <t>Class Y</t>
  </si>
  <si>
    <t>Total</t>
  </si>
  <si>
    <t>(I)</t>
  </si>
  <si>
    <t>(II)</t>
  </si>
  <si>
    <t>(III)</t>
  </si>
  <si>
    <t>(IV)</t>
  </si>
  <si>
    <t>(V)</t>
  </si>
  <si>
    <t>(VI)</t>
  </si>
  <si>
    <t>(VII)</t>
  </si>
  <si>
    <t>(VIII)</t>
  </si>
  <si>
    <t>(IX)</t>
  </si>
  <si>
    <t>(X)</t>
  </si>
  <si>
    <t>(XI)</t>
  </si>
  <si>
    <t>(XII)</t>
  </si>
  <si>
    <t>(XIII)</t>
  </si>
  <si>
    <t>(XIV)</t>
  </si>
  <si>
    <t>(A)</t>
  </si>
  <si>
    <t>Promoter &amp; Promoter Group</t>
  </si>
  <si>
    <t>(B)</t>
  </si>
  <si>
    <t>Public</t>
  </si>
  <si>
    <t>NA</t>
  </si>
  <si>
    <t>(C)</t>
  </si>
  <si>
    <t>Non Promoter-Non Public</t>
  </si>
  <si>
    <t>(C1)</t>
  </si>
  <si>
    <t>Shares underlying DRs</t>
  </si>
  <si>
    <t>(C2)</t>
  </si>
  <si>
    <t>Shares held by Employes Trusts</t>
  </si>
  <si>
    <t>Total:</t>
  </si>
  <si>
    <t>Table II - Statement showing shareholding pattern of the Promoter and Promoter Group</t>
  </si>
  <si>
    <t>Category &amp; Name of the Shareholder</t>
  </si>
  <si>
    <t>PAN</t>
  </si>
  <si>
    <t>Total No of Shares Held (IV+V+VI)</t>
  </si>
  <si>
    <t>Shareholding as a % of total no of shares (A+B+C2)</t>
  </si>
  <si>
    <t>(1)</t>
  </si>
  <si>
    <t>Indian</t>
  </si>
  <si>
    <t>(a)</t>
  </si>
  <si>
    <t>Individuals/Hindu undivided Family</t>
  </si>
  <si>
    <t>(b)</t>
  </si>
  <si>
    <t>Central Government/State Government(s)</t>
  </si>
  <si>
    <t>(c)</t>
  </si>
  <si>
    <t>Financial Institutions/Banks</t>
  </si>
  <si>
    <t>(d)</t>
  </si>
  <si>
    <t>Any Other</t>
  </si>
  <si>
    <t>Sub-Total (A)(1)</t>
  </si>
  <si>
    <t>(2)</t>
  </si>
  <si>
    <t>Foreign</t>
  </si>
  <si>
    <t>Individuals (Non-Resident Individuals/Foreign Individuals</t>
  </si>
  <si>
    <t>Government</t>
  </si>
  <si>
    <t>Institutions</t>
  </si>
  <si>
    <t>Foreign Portfolio Investor</t>
  </si>
  <si>
    <t>(e)</t>
  </si>
  <si>
    <t xml:space="preserve">Any Other </t>
  </si>
  <si>
    <t>Sub-Total (A)(2)</t>
  </si>
  <si>
    <t>Total Shareholding of Promoter and Promoter Group (A)=(A)(1)+(A)(2)</t>
  </si>
  <si>
    <t>Table III - Statement showing shareholding pattern of the Public shareholder</t>
  </si>
  <si>
    <t>Mutual Funds</t>
  </si>
  <si>
    <t>Venture Capital Funds</t>
  </si>
  <si>
    <t>Alternate Investment Funds</t>
  </si>
  <si>
    <t>Foreign Venture Capital Investors</t>
  </si>
  <si>
    <t>Foreign Portfolio Investors</t>
  </si>
  <si>
    <t>(f)</t>
  </si>
  <si>
    <t xml:space="preserve">LIFE INSURANCE CORPORATION OF INDIA                                                                                                                   </t>
  </si>
  <si>
    <t>(g)</t>
  </si>
  <si>
    <t>Insurance Companies</t>
  </si>
  <si>
    <t>(h)</t>
  </si>
  <si>
    <t>Provident Funds/Pension Funds</t>
  </si>
  <si>
    <t>(i)</t>
  </si>
  <si>
    <t>Sub Total (B)(1)</t>
  </si>
  <si>
    <t>Central Government/State Government(s)/President of India</t>
  </si>
  <si>
    <t>Sub Total (B)(2)</t>
  </si>
  <si>
    <t>(3)</t>
  </si>
  <si>
    <t>Non-Institutions</t>
  </si>
  <si>
    <t>i.Individual shareholders holding nominal share capital up to Rs.2 lakhs</t>
  </si>
  <si>
    <t>ii.Individual shareholders holding nominal share capital in excess of Rs. 2 Lakhs</t>
  </si>
  <si>
    <t>NBFCs Registered with RBI</t>
  </si>
  <si>
    <t>Employee Trusts</t>
  </si>
  <si>
    <t>Overseas Depositories (Holding DRs)(Balancing figure)</t>
  </si>
  <si>
    <t xml:space="preserve">TRUSTS                                            </t>
  </si>
  <si>
    <t xml:space="preserve">NRI-REPATRIABLE                                   </t>
  </si>
  <si>
    <t xml:space="preserve">NON-RESIDENT (OTHERS)                             </t>
  </si>
  <si>
    <t xml:space="preserve">NON RESIDENT INDIANS                              </t>
  </si>
  <si>
    <t xml:space="preserve">CLEARING MEMBERS                                  </t>
  </si>
  <si>
    <t xml:space="preserve">OTHER SCHEDULED BANKS                             </t>
  </si>
  <si>
    <t xml:space="preserve">NON RESIDENT INDIAN NON REPATRIABLE               </t>
  </si>
  <si>
    <t xml:space="preserve">BODIES CORPORATES                                 </t>
  </si>
  <si>
    <t>Sub Total (B)(3)</t>
  </si>
  <si>
    <t>Total Public Shareholding (B) = (B)(1)+(B)(2)+(B)(3)</t>
  </si>
  <si>
    <t>Table IV - Statement showing shareholding pattern of the Non Promoter - Non Public Shareholder</t>
  </si>
  <si>
    <t>Custodian/DR Holder</t>
  </si>
  <si>
    <t>Employee Benefit Trust (under SEBI(Share based Employee Benefit) Regulations 2014)</t>
  </si>
  <si>
    <t>Total Non-Promoter-Non Public Shareholding (C) = (C)(1)+(C)(2)</t>
  </si>
  <si>
    <t>Share Holding Pattern Filed under: Reg.31(1)(b)</t>
  </si>
  <si>
    <r>
      <t xml:space="preserve">Scrip Code/Name of Scrip/Class of Security:  a) Scrip Code (BSE): </t>
    </r>
    <r>
      <rPr>
        <b/>
        <sz val="11"/>
        <color theme="1"/>
        <rFont val="Calibri"/>
        <family val="2"/>
        <scheme val="minor"/>
      </rPr>
      <t>500460</t>
    </r>
    <r>
      <rPr>
        <sz val="11"/>
        <color theme="1"/>
        <rFont val="Calibri"/>
        <family val="2"/>
        <scheme val="minor"/>
      </rPr>
      <t xml:space="preserve">; b) Scrip Name (NSE): </t>
    </r>
    <r>
      <rPr>
        <b/>
        <sz val="11"/>
        <color theme="1"/>
        <rFont val="Calibri"/>
        <family val="2"/>
        <scheme val="minor"/>
      </rPr>
      <t>MUKANDLTD</t>
    </r>
  </si>
  <si>
    <t>Shri Rahul Bajaj</t>
  </si>
  <si>
    <t>Shri Niraj Bajaj</t>
  </si>
  <si>
    <t>Shri Rajesh V Shah</t>
  </si>
  <si>
    <t>Shri Sanjivnayan Bajaj</t>
  </si>
  <si>
    <t>Shri Shekhar Bajaj</t>
  </si>
  <si>
    <t>Shri Madhur Bajaj</t>
  </si>
  <si>
    <t>Smt Minal Bajaj</t>
  </si>
  <si>
    <t>Smt Sunaina Kejriwal</t>
  </si>
  <si>
    <t>Smt Suman Jain</t>
  </si>
  <si>
    <t>Smt Anjana Viren Shah ( Nee Anjana Munsif )</t>
  </si>
  <si>
    <t>Shri Narendrakumar J Shah</t>
  </si>
  <si>
    <t xml:space="preserve">Smt Bansri Rajesh Shah </t>
  </si>
  <si>
    <t>Smt Czaee Sukumar Shah</t>
  </si>
  <si>
    <t>Priyaradhika Rajesh Shah</t>
  </si>
  <si>
    <t>Shri Kaustubh Rajesh Shah</t>
  </si>
  <si>
    <t xml:space="preserve">Shri Rishabh Sukumar Vir </t>
  </si>
  <si>
    <t>AABPB4242J</t>
  </si>
  <si>
    <t>ACJPB6302K</t>
  </si>
  <si>
    <t>ACJPB6315N</t>
  </si>
  <si>
    <t>ACJPB6301L</t>
  </si>
  <si>
    <t>ABUPB2988F</t>
  </si>
  <si>
    <t>ACJPB6306P</t>
  </si>
  <si>
    <t>ABUPB2990D</t>
  </si>
  <si>
    <t>ADWPK2432P</t>
  </si>
  <si>
    <t>AFJPM0518H</t>
  </si>
  <si>
    <t>AADPS5948N</t>
  </si>
  <si>
    <t>AAQPS5486G</t>
  </si>
  <si>
    <t>AAFPS3722A</t>
  </si>
  <si>
    <t>AQPPS1763F</t>
  </si>
  <si>
    <t>AUBPS0330G</t>
  </si>
  <si>
    <t>ABVPJ9074H</t>
  </si>
  <si>
    <t>ADZPV5090R</t>
  </si>
  <si>
    <t>Akhil Investments &amp; Traders Pvt Ltd</t>
  </si>
  <si>
    <t>Bachhraj &amp; Co Pvt Ltd</t>
  </si>
  <si>
    <t>Bachhraj Factories Pvt Ltd</t>
  </si>
  <si>
    <t>Bajaj Holdings &amp; Investment Ltd</t>
  </si>
  <si>
    <t>Bajaj Sevashram Pvt Ltd</t>
  </si>
  <si>
    <t>Baroda Industries Pvt Ltd</t>
  </si>
  <si>
    <t>Jamnalal Sons Pvt Ltd</t>
  </si>
  <si>
    <t xml:space="preserve">Jeewan Limited </t>
  </si>
  <si>
    <t>Mukand Engineers Ltd</t>
  </si>
  <si>
    <t>Niraj Holdings Pvt Ltd</t>
  </si>
  <si>
    <t>Kamalnayan Investment &amp; Trading  Pvt Ltd</t>
  </si>
  <si>
    <t>Madhur Securities Pvt Ltd</t>
  </si>
  <si>
    <t>Rahul Securities Pvt Ltd</t>
  </si>
  <si>
    <t>Rupa Equities Private Limited</t>
  </si>
  <si>
    <t>Sanraj Nayan Investments  Pvt Ltd</t>
  </si>
  <si>
    <t>Shekhar Holdings Pvt Ltd</t>
  </si>
  <si>
    <t>Sidya Investments Ltd</t>
  </si>
  <si>
    <t>Valiant Investments &amp; Trades Pvt Ltd</t>
  </si>
  <si>
    <t>AAACA4664P</t>
  </si>
  <si>
    <t>AAACB5589N</t>
  </si>
  <si>
    <t>AAACB4654N</t>
  </si>
  <si>
    <t>AAACB3370K</t>
  </si>
  <si>
    <t>AADCB2301D</t>
  </si>
  <si>
    <t>AAACB2428A</t>
  </si>
  <si>
    <t>AAACJ3176H</t>
  </si>
  <si>
    <t>AAACJ1656Q</t>
  </si>
  <si>
    <t xml:space="preserve">AAACM4974G </t>
  </si>
  <si>
    <t>AAACN5095P</t>
  </si>
  <si>
    <t>AAACK2177P</t>
  </si>
  <si>
    <t>AAACM3719R</t>
  </si>
  <si>
    <t>AAACR3945E</t>
  </si>
  <si>
    <t>AAACS7520E</t>
  </si>
  <si>
    <t>AAMCS1380A</t>
  </si>
  <si>
    <t>AAECS5871J</t>
  </si>
  <si>
    <t>AAACS5298M</t>
  </si>
  <si>
    <t>AAACV1473H</t>
  </si>
  <si>
    <t>(*) The term “encumbrance” has the same meaning as assigned to it in regulation 28(3) of the SAST Regulations, 2011</t>
  </si>
  <si>
    <t>Body Corporate</t>
  </si>
  <si>
    <t>Trusts</t>
  </si>
  <si>
    <t>AAATJ0268P</t>
  </si>
  <si>
    <t>AAATN1019L</t>
  </si>
  <si>
    <t>AADPS3254M</t>
  </si>
  <si>
    <t>AADPS3255L</t>
  </si>
  <si>
    <t>Shri Niraj Bajaj (A/c Niravnayan Trust)</t>
  </si>
  <si>
    <t>Equity Shares</t>
  </si>
  <si>
    <t>NO</t>
  </si>
  <si>
    <t>YES</t>
  </si>
  <si>
    <t>Table IIIA - Statement showing shareholding pattern of the Public shareholders holding 1% or more than 1% of shares of the Company</t>
  </si>
  <si>
    <t>i</t>
  </si>
  <si>
    <t>TOTAL</t>
  </si>
  <si>
    <t xml:space="preserve">WELFARE FUNDS                     </t>
  </si>
  <si>
    <r>
      <t xml:space="preserve">Name of Listed Entity: </t>
    </r>
    <r>
      <rPr>
        <b/>
        <sz val="11"/>
        <color theme="1"/>
        <rFont val="Calibri"/>
        <family val="2"/>
        <scheme val="minor"/>
      </rPr>
      <t>MUKAND LIMITED</t>
    </r>
  </si>
  <si>
    <t xml:space="preserve">Format of Holding of Specified securities                                          </t>
  </si>
  <si>
    <t>ANNEXURE - I</t>
  </si>
  <si>
    <t>AAACL0582H</t>
  </si>
  <si>
    <t>AALCS4572R</t>
  </si>
  <si>
    <t>Shri Neelakantan K. Iyer (A/c Jadavdevi Suketu Trust)</t>
  </si>
  <si>
    <t>AALCS6828G</t>
  </si>
  <si>
    <t>Shri Suketu V Shah</t>
  </si>
  <si>
    <t>Oremet Minerals And Metal Pvt Ltd</t>
  </si>
  <si>
    <t>Shri Rajesh V Shah (A/c Decree Trust)</t>
  </si>
  <si>
    <t>AAACO9491N</t>
  </si>
  <si>
    <t>AAATD0261A</t>
  </si>
  <si>
    <t>TEESTA RETAIL PRIVATE LIMITED</t>
  </si>
  <si>
    <t>Isarnan  Steel and Minerals Pvt. Ltd.</t>
  </si>
  <si>
    <t>IEPF AUTHORITY</t>
  </si>
  <si>
    <r>
      <t>Shri Anant Bajaj</t>
    </r>
    <r>
      <rPr>
        <b/>
        <vertAlign val="superscript"/>
        <sz val="14"/>
        <color theme="1"/>
        <rFont val="Calibri"/>
        <family val="2"/>
        <scheme val="minor"/>
      </rPr>
      <t>*</t>
    </r>
  </si>
  <si>
    <t>Notes:</t>
  </si>
  <si>
    <t>*“Anant Bajaj, who was a promoter and/or was a person belonging to the promoter group of the Company died on 10th August 2018. The Late Anant Bajaj held 86,400 equity shares in Mukand Limited ('the Company'), constituting 0.06 % of the paid-up equity share capital of the Company. In accordance with Regulation 31A(6)(c) of the SEBI (Listing Obligations and Disclosure Requirements) Regulations, 2015, Late Anant Bajaj has automatically ceased to be a promoter/person belonging to the promoter group on his death. However, in consideration of the application made to the Hon’ble High Court, Bombay for grant of Letter of Administration in favour of his legal heirs namely, his wife, son and mother, who are already part of promoter/person belonging to the promoter group, the shares that were held by the Late Anant Bajaj are being continued to be classified as promoter shareholding. Upon the transmission, succession or inheritance of the shares that were held by the Late Anant Bajaj, the recipients of the shares will be classified as a promoter/person belonging to the promoter group, as applicable. Hence there will not be any change in the total promoter shareholding in the Company.</t>
  </si>
  <si>
    <r>
      <t xml:space="preserve">a. if under 31(1)(b) then indicate the report for quarter ended : </t>
    </r>
    <r>
      <rPr>
        <b/>
        <sz val="11"/>
        <color theme="1"/>
        <rFont val="Calibri"/>
        <family val="2"/>
        <scheme val="minor"/>
      </rPr>
      <t>Qtr Ended - 31st  December,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</si>
</sst>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1"/>
      <color indexed="8"/>
      <name val="Calibri"/>
      <family val="2"/>
    </font>
    <font>
      <b/>
      <i/>
      <u/>
      <sz val="11"/>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b/>
      <sz val="11"/>
      <name val="Times New Roman"/>
      <family val="1"/>
    </font>
    <font>
      <sz val="10"/>
      <name val="Times New Roman"/>
      <family val="1"/>
    </font>
    <font>
      <sz val="11"/>
      <color theme="1"/>
      <name val="Calibri"/>
      <family val="2"/>
      <scheme val="minor"/>
    </font>
    <font>
      <b/>
      <sz val="12"/>
      <color theme="1"/>
      <name val="Calibri"/>
      <family val="2"/>
      <scheme val="minor"/>
    </font>
    <font>
      <b/>
      <sz val="11"/>
      <color theme="1"/>
      <name val="Calibri"/>
      <family val="2"/>
      <scheme val="minor"/>
    </font>
    <font>
      <b/>
      <vertAlign val="superscript"/>
      <sz val="14"/>
      <color theme="1"/>
      <name val="Calibri"/>
      <family val="2"/>
      <scheme val="minor"/>
    </font>
    <font>
      <sz val="12"/>
      <name val="Times New Roman"/>
      <family val="1"/>
    </font>
    <font>
      <b/>
      <sz val="12"/>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100">
    <xf numFmtId="0" fontId="0" fillId="0" borderId="0" xfId="0"/>
    <xf numFmtId="0" fontId="0" fillId="0" borderId="0" xfId="0" quotePrefix="1"/>
    <xf numFmtId="0" fontId="0" fillId="0" borderId="1" xfId="0" applyBorder="1"/>
    <xf numFmtId="0" fontId="0" fillId="0" borderId="1" xfId="0" quotePrefix="1" applyBorder="1"/>
    <xf numFmtId="0" fontId="1" fillId="0" borderId="0" xfId="0" applyFont="1"/>
    <xf numFmtId="0" fontId="2" fillId="0" borderId="0" xfId="0" applyFont="1"/>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xf numFmtId="2" fontId="0" fillId="0" borderId="1" xfId="0" applyNumberFormat="1" applyBorder="1"/>
    <xf numFmtId="2" fontId="1" fillId="0" borderId="1" xfId="0" applyNumberFormat="1" applyFont="1" applyBorder="1"/>
    <xf numFmtId="0" fontId="1" fillId="0" borderId="1" xfId="0" applyFont="1" applyBorder="1" applyAlignment="1">
      <alignment wrapText="1"/>
    </xf>
    <xf numFmtId="0" fontId="1" fillId="0" borderId="1" xfId="0" applyFont="1" applyBorder="1" applyAlignment="1">
      <alignment horizontal="center"/>
    </xf>
    <xf numFmtId="0" fontId="0" fillId="0" borderId="0" xfId="0"/>
    <xf numFmtId="0" fontId="0" fillId="0" borderId="1" xfId="0" applyBorder="1" applyAlignment="1">
      <alignment wrapText="1"/>
    </xf>
    <xf numFmtId="0" fontId="0" fillId="0" borderId="1" xfId="0" applyBorder="1" applyAlignment="1">
      <alignment horizontal="center"/>
    </xf>
    <xf numFmtId="0" fontId="0" fillId="0" borderId="0" xfId="0"/>
    <xf numFmtId="0" fontId="1" fillId="0" borderId="1" xfId="0" applyFont="1" applyBorder="1" applyAlignment="1">
      <alignment horizontal="center"/>
    </xf>
    <xf numFmtId="0" fontId="2" fillId="0" borderId="0" xfId="0" applyFont="1" applyFill="1"/>
    <xf numFmtId="0" fontId="1" fillId="0" borderId="1" xfId="0" applyFont="1" applyFill="1" applyBorder="1" applyAlignment="1">
      <alignment vertical="top" wrapText="1"/>
    </xf>
    <xf numFmtId="0" fontId="1" fillId="0" borderId="0" xfId="0" applyFont="1" applyFill="1"/>
    <xf numFmtId="0" fontId="1" fillId="0" borderId="1" xfId="0" applyFont="1" applyFill="1" applyBorder="1"/>
    <xf numFmtId="0" fontId="1" fillId="0" borderId="1" xfId="0" applyFont="1" applyFill="1" applyBorder="1" applyAlignment="1">
      <alignment horizontal="center" vertical="top" wrapText="1"/>
    </xf>
    <xf numFmtId="0" fontId="1" fillId="0" borderId="1" xfId="0" applyFont="1" applyFill="1" applyBorder="1" applyAlignment="1">
      <alignment wrapText="1"/>
    </xf>
    <xf numFmtId="0" fontId="1" fillId="0" borderId="1" xfId="0" applyFont="1" applyFill="1" applyBorder="1" applyAlignment="1">
      <alignment vertical="top"/>
    </xf>
    <xf numFmtId="0" fontId="1" fillId="0" borderId="1" xfId="0" applyFont="1" applyFill="1" applyBorder="1" applyAlignment="1">
      <alignment horizontal="center"/>
    </xf>
    <xf numFmtId="0" fontId="0" fillId="0" borderId="1" xfId="0" quotePrefix="1" applyFill="1" applyBorder="1"/>
    <xf numFmtId="0" fontId="0" fillId="0" borderId="1" xfId="0" applyFill="1" applyBorder="1"/>
    <xf numFmtId="0" fontId="0" fillId="0" borderId="0" xfId="0" applyFill="1"/>
    <xf numFmtId="0" fontId="0" fillId="0" borderId="1" xfId="0" applyFill="1" applyBorder="1" applyAlignment="1">
      <alignment horizontal="center"/>
    </xf>
    <xf numFmtId="2" fontId="0" fillId="0" borderId="1" xfId="0" applyNumberFormat="1" applyFill="1" applyBorder="1"/>
    <xf numFmtId="2" fontId="1" fillId="0" borderId="1" xfId="0" applyNumberFormat="1" applyFont="1" applyFill="1" applyBorder="1"/>
    <xf numFmtId="0" fontId="0" fillId="0" borderId="1" xfId="0" applyFill="1" applyBorder="1" applyAlignment="1">
      <alignment wrapText="1"/>
    </xf>
    <xf numFmtId="0" fontId="0" fillId="0" borderId="1" xfId="0" applyFont="1" applyFill="1" applyBorder="1"/>
    <xf numFmtId="0" fontId="0" fillId="0" borderId="0" xfId="0"/>
    <xf numFmtId="0" fontId="0" fillId="0" borderId="0" xfId="0" applyFont="1" applyFill="1"/>
    <xf numFmtId="0" fontId="6" fillId="0" borderId="0" xfId="0" applyFont="1" applyFill="1"/>
    <xf numFmtId="0" fontId="7" fillId="0" borderId="1" xfId="0" applyFont="1" applyFill="1" applyBorder="1" applyAlignment="1">
      <alignment vertical="top" wrapText="1"/>
    </xf>
    <xf numFmtId="0" fontId="7" fillId="0" borderId="0" xfId="0" applyFont="1" applyFill="1"/>
    <xf numFmtId="0" fontId="7" fillId="0" borderId="1" xfId="0" applyFont="1" applyFill="1" applyBorder="1"/>
    <xf numFmtId="0" fontId="7" fillId="0" borderId="1" xfId="0" applyFont="1" applyFill="1" applyBorder="1" applyAlignment="1">
      <alignment horizontal="center" vertical="top" wrapText="1"/>
    </xf>
    <xf numFmtId="0" fontId="7" fillId="0" borderId="1" xfId="0" applyFont="1" applyFill="1" applyBorder="1" applyAlignment="1">
      <alignment wrapText="1"/>
    </xf>
    <xf numFmtId="0" fontId="7" fillId="0" borderId="1" xfId="0" applyFont="1" applyFill="1" applyBorder="1" applyAlignment="1">
      <alignment vertical="top"/>
    </xf>
    <xf numFmtId="0" fontId="7" fillId="0" borderId="1" xfId="0" applyFont="1" applyFill="1" applyBorder="1" applyAlignment="1">
      <alignment horizontal="center"/>
    </xf>
    <xf numFmtId="0" fontId="8" fillId="0" borderId="1" xfId="0" quotePrefix="1" applyFont="1" applyFill="1" applyBorder="1"/>
    <xf numFmtId="0" fontId="8" fillId="0" borderId="1" xfId="0" applyFont="1" applyFill="1" applyBorder="1"/>
    <xf numFmtId="0" fontId="8" fillId="0" borderId="0" xfId="0" applyFont="1" applyFill="1"/>
    <xf numFmtId="0" fontId="8" fillId="0" borderId="1" xfId="0" applyFont="1" applyFill="1" applyBorder="1" applyAlignment="1">
      <alignment horizontal="center"/>
    </xf>
    <xf numFmtId="2" fontId="8" fillId="0" borderId="1" xfId="0" applyNumberFormat="1" applyFont="1" applyFill="1" applyBorder="1"/>
    <xf numFmtId="0" fontId="8" fillId="0" borderId="1" xfId="0" applyFont="1" applyFill="1" applyBorder="1" applyAlignment="1">
      <alignment horizontal="center" vertical="center"/>
    </xf>
    <xf numFmtId="0" fontId="8" fillId="0" borderId="1" xfId="0" applyFont="1" applyFill="1" applyBorder="1" applyAlignment="1">
      <alignment wrapText="1"/>
    </xf>
    <xf numFmtId="2" fontId="7" fillId="0" borderId="1" xfId="0" applyNumberFormat="1" applyFont="1" applyFill="1" applyBorder="1"/>
    <xf numFmtId="0" fontId="9" fillId="0" borderId="0" xfId="0" applyFont="1" applyFill="1" applyAlignment="1">
      <alignment vertical="top"/>
    </xf>
    <xf numFmtId="0" fontId="10" fillId="0" borderId="0" xfId="0" applyFont="1" applyFill="1"/>
    <xf numFmtId="0" fontId="7" fillId="0" borderId="1" xfId="0" applyFont="1" applyFill="1" applyBorder="1" applyAlignment="1">
      <alignment vertical="top" wrapText="1"/>
    </xf>
    <xf numFmtId="0" fontId="11" fillId="0" borderId="0" xfId="0" applyFont="1" applyFill="1"/>
    <xf numFmtId="0" fontId="12" fillId="0" borderId="0" xfId="0" applyFont="1" applyFill="1"/>
    <xf numFmtId="0" fontId="13" fillId="0" borderId="1" xfId="0" applyFont="1" applyFill="1" applyBorder="1" applyAlignment="1">
      <alignment vertical="top" wrapText="1"/>
    </xf>
    <xf numFmtId="0" fontId="13" fillId="0" borderId="1" xfId="0" applyFont="1" applyFill="1" applyBorder="1" applyAlignment="1">
      <alignment vertical="top"/>
    </xf>
    <xf numFmtId="0" fontId="13" fillId="0" borderId="0" xfId="0" applyFont="1" applyFill="1"/>
    <xf numFmtId="0" fontId="13" fillId="0" borderId="1" xfId="0" applyFont="1" applyFill="1" applyBorder="1"/>
    <xf numFmtId="0" fontId="13" fillId="0" borderId="1" xfId="0" applyFont="1" applyFill="1" applyBorder="1" applyAlignment="1">
      <alignment horizontal="center" vertical="top" wrapText="1"/>
    </xf>
    <xf numFmtId="0" fontId="11" fillId="0" borderId="1" xfId="0" applyFont="1" applyFill="1" applyBorder="1" applyAlignment="1">
      <alignment horizontal="center"/>
    </xf>
    <xf numFmtId="0" fontId="11" fillId="0" borderId="1" xfId="0" applyFont="1" applyFill="1" applyBorder="1"/>
    <xf numFmtId="2" fontId="11" fillId="0" borderId="1" xfId="0" applyNumberFormat="1" applyFont="1" applyFill="1" applyBorder="1"/>
    <xf numFmtId="0" fontId="11" fillId="0" borderId="1" xfId="0" applyFont="1" applyFill="1" applyBorder="1" applyAlignment="1">
      <alignment horizontal="right"/>
    </xf>
    <xf numFmtId="2" fontId="13" fillId="0" borderId="1" xfId="0" applyNumberFormat="1" applyFont="1" applyFill="1" applyBorder="1"/>
    <xf numFmtId="0" fontId="16" fillId="0" borderId="0" xfId="0" applyFont="1" applyFill="1"/>
    <xf numFmtId="0" fontId="17" fillId="0" borderId="1" xfId="0" applyFont="1" applyFill="1" applyBorder="1" applyAlignment="1">
      <alignment vertical="top" wrapText="1"/>
    </xf>
    <xf numFmtId="0" fontId="17" fillId="0" borderId="0" xfId="0" applyFont="1" applyFill="1"/>
    <xf numFmtId="0" fontId="17" fillId="0" borderId="1" xfId="0" applyFont="1" applyFill="1" applyBorder="1"/>
    <xf numFmtId="0" fontId="17" fillId="0" borderId="1" xfId="0" applyFont="1" applyFill="1" applyBorder="1" applyAlignment="1">
      <alignment horizontal="center" vertical="top" wrapText="1"/>
    </xf>
    <xf numFmtId="0" fontId="17" fillId="0" borderId="1" xfId="0" applyFont="1" applyFill="1" applyBorder="1" applyAlignment="1">
      <alignment wrapText="1"/>
    </xf>
    <xf numFmtId="0" fontId="17" fillId="0" borderId="1" xfId="0" applyFont="1" applyFill="1" applyBorder="1" applyAlignment="1">
      <alignment vertical="top"/>
    </xf>
    <xf numFmtId="0" fontId="17" fillId="0" borderId="1" xfId="0" applyFont="1" applyFill="1" applyBorder="1" applyAlignment="1">
      <alignment horizontal="center"/>
    </xf>
    <xf numFmtId="0" fontId="18" fillId="0" borderId="1" xfId="0" quotePrefix="1" applyFont="1" applyFill="1" applyBorder="1"/>
    <xf numFmtId="0" fontId="18" fillId="0" borderId="1" xfId="0" applyFont="1" applyFill="1" applyBorder="1"/>
    <xf numFmtId="0" fontId="18" fillId="0" borderId="0" xfId="0" applyFont="1" applyFill="1"/>
    <xf numFmtId="0" fontId="18" fillId="0" borderId="1" xfId="0" applyFont="1" applyFill="1" applyBorder="1" applyAlignment="1">
      <alignment horizontal="center"/>
    </xf>
    <xf numFmtId="2" fontId="18" fillId="0" borderId="1" xfId="0" applyNumberFormat="1" applyFont="1" applyFill="1" applyBorder="1"/>
    <xf numFmtId="2" fontId="17" fillId="0" borderId="1" xfId="0" applyNumberFormat="1" applyFont="1" applyFill="1" applyBorder="1"/>
    <xf numFmtId="0" fontId="18" fillId="0" borderId="1" xfId="0" applyFont="1" applyFill="1" applyBorder="1" applyAlignment="1">
      <alignment wrapText="1"/>
    </xf>
    <xf numFmtId="0" fontId="18" fillId="0" borderId="1" xfId="0" quotePrefix="1" applyFont="1" applyFill="1" applyBorder="1" applyAlignment="1">
      <alignment horizontal="center"/>
    </xf>
    <xf numFmtId="0" fontId="11" fillId="0" borderId="0" xfId="0" applyFont="1" applyFill="1"/>
    <xf numFmtId="0" fontId="0" fillId="0" borderId="0" xfId="0" applyAlignment="1">
      <alignment horizontal="center"/>
    </xf>
    <xf numFmtId="0" fontId="5" fillId="0" borderId="0" xfId="0" applyFont="1" applyAlignment="1">
      <alignment horizontal="right"/>
    </xf>
    <xf numFmtId="0" fontId="11" fillId="0" borderId="1" xfId="0" applyFont="1" applyFill="1" applyBorder="1" applyAlignment="1">
      <alignment horizontal="center"/>
    </xf>
    <xf numFmtId="0" fontId="11" fillId="0" borderId="0" xfId="0" applyFont="1" applyFill="1"/>
    <xf numFmtId="0" fontId="13" fillId="0" borderId="1" xfId="0" applyFont="1" applyFill="1" applyBorder="1" applyAlignment="1">
      <alignment vertical="top" wrapText="1"/>
    </xf>
    <xf numFmtId="0" fontId="15" fillId="0" borderId="0" xfId="0" applyFont="1" applyFill="1" applyAlignment="1">
      <alignment horizontal="justify" vertical="center" wrapText="1"/>
    </xf>
    <xf numFmtId="0" fontId="7" fillId="0" borderId="1" xfId="0" applyFont="1" applyFill="1" applyBorder="1" applyAlignment="1">
      <alignment vertical="top" wrapText="1"/>
    </xf>
    <xf numFmtId="0" fontId="7" fillId="0" borderId="1" xfId="0" applyFont="1" applyFill="1" applyBorder="1" applyAlignment="1">
      <alignment horizontal="center"/>
    </xf>
    <xf numFmtId="0" fontId="17" fillId="0" borderId="1" xfId="0" applyFont="1" applyFill="1" applyBorder="1" applyAlignment="1">
      <alignment vertical="top" wrapText="1"/>
    </xf>
    <xf numFmtId="0" fontId="17" fillId="0" borderId="1" xfId="0" applyFont="1" applyFill="1" applyBorder="1" applyAlignment="1">
      <alignment horizontal="center"/>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
  <sheetViews>
    <sheetView zoomScaleNormal="100" zoomScaleSheetLayoutView="115" workbookViewId="0">
      <selection activeCell="D18" sqref="A1:D18"/>
    </sheetView>
  </sheetViews>
  <sheetFormatPr defaultRowHeight="15" x14ac:dyDescent="0.25"/>
  <cols>
    <col min="1" max="1" width="10.7109375" customWidth="1"/>
    <col min="2" max="2" width="110.7109375" customWidth="1"/>
    <col min="3" max="4" width="10.7109375" customWidth="1"/>
  </cols>
  <sheetData>
    <row r="1" spans="1:4" s="17" customFormat="1" x14ac:dyDescent="0.25">
      <c r="B1" s="86" t="s">
        <v>218</v>
      </c>
      <c r="C1" s="86"/>
      <c r="D1" s="86"/>
    </row>
    <row r="2" spans="1:4" x14ac:dyDescent="0.25">
      <c r="A2" s="85" t="s">
        <v>217</v>
      </c>
      <c r="B2" s="85"/>
      <c r="C2" s="85"/>
      <c r="D2" s="85"/>
    </row>
    <row r="4" spans="1:4" x14ac:dyDescent="0.25">
      <c r="A4" s="1" t="s">
        <v>0</v>
      </c>
      <c r="B4" s="17" t="s">
        <v>216</v>
      </c>
    </row>
    <row r="5" spans="1:4" x14ac:dyDescent="0.25">
      <c r="A5" s="1" t="s">
        <v>1</v>
      </c>
      <c r="B5" s="14" t="s">
        <v>132</v>
      </c>
    </row>
    <row r="6" spans="1:4" x14ac:dyDescent="0.25">
      <c r="A6" s="1" t="s">
        <v>2</v>
      </c>
      <c r="B6" s="14" t="s">
        <v>131</v>
      </c>
    </row>
    <row r="7" spans="1:4" x14ac:dyDescent="0.25">
      <c r="B7" s="35" t="s">
        <v>234</v>
      </c>
    </row>
    <row r="8" spans="1:4" x14ac:dyDescent="0.25">
      <c r="A8" s="1" t="s">
        <v>3</v>
      </c>
      <c r="B8" t="s">
        <v>4</v>
      </c>
    </row>
    <row r="9" spans="1:4" x14ac:dyDescent="0.25">
      <c r="A9" s="2"/>
      <c r="B9" s="9" t="s">
        <v>5</v>
      </c>
      <c r="C9" s="18" t="s">
        <v>6</v>
      </c>
      <c r="D9" s="18" t="s">
        <v>7</v>
      </c>
    </row>
    <row r="10" spans="1:4" x14ac:dyDescent="0.25">
      <c r="A10" s="3" t="s">
        <v>8</v>
      </c>
      <c r="B10" s="2" t="s">
        <v>9</v>
      </c>
      <c r="C10" s="16"/>
      <c r="D10" s="16" t="s">
        <v>210</v>
      </c>
    </row>
    <row r="11" spans="1:4" x14ac:dyDescent="0.25">
      <c r="A11" s="3" t="s">
        <v>10</v>
      </c>
      <c r="B11" s="2" t="s">
        <v>11</v>
      </c>
      <c r="C11" s="16"/>
      <c r="D11" s="16" t="s">
        <v>210</v>
      </c>
    </row>
    <row r="12" spans="1:4" x14ac:dyDescent="0.25">
      <c r="A12" s="3" t="s">
        <v>12</v>
      </c>
      <c r="B12" s="2" t="s">
        <v>13</v>
      </c>
      <c r="C12" s="16"/>
      <c r="D12" s="16" t="s">
        <v>210</v>
      </c>
    </row>
    <row r="13" spans="1:4" x14ac:dyDescent="0.25">
      <c r="A13" s="3" t="s">
        <v>14</v>
      </c>
      <c r="B13" s="2" t="s">
        <v>15</v>
      </c>
      <c r="C13" s="16"/>
      <c r="D13" s="16" t="s">
        <v>210</v>
      </c>
    </row>
    <row r="14" spans="1:4" x14ac:dyDescent="0.25">
      <c r="A14" s="3" t="s">
        <v>16</v>
      </c>
      <c r="B14" s="2" t="s">
        <v>17</v>
      </c>
      <c r="C14" s="16" t="s">
        <v>211</v>
      </c>
      <c r="D14" s="16"/>
    </row>
    <row r="18" spans="1:2" x14ac:dyDescent="0.25">
      <c r="A18" s="1" t="s">
        <v>18</v>
      </c>
      <c r="B18" t="s">
        <v>19</v>
      </c>
    </row>
    <row r="19" spans="1:2" s="4" customFormat="1" x14ac:dyDescent="0.25"/>
  </sheetData>
  <mergeCells count="2">
    <mergeCell ref="A2:D2"/>
    <mergeCell ref="B1:D1"/>
  </mergeCells>
  <pageMargins left="0.21" right="0.196850393700787" top="0.82677165354330695" bottom="0.43307086614173201" header="0.31496062992126" footer="0.31496062992126"/>
  <pageSetup paperSize="9" scale="95" orientation="landscape" r:id="rId1"/>
  <headerFooter>
    <oddHeader>&amp;L&amp;"-,Bold"Shareholding Pattern - Regulation 31 - 
Mukand Ltd.&amp;C&amp;"-,Bold"Scrip Code (BSE)- 500460
Scrip Name (NSE)- MUKANDLTD&amp;R&amp;"-,Bold"Qtr Ended - 30th Dec, 2019</oddHeader>
    <oddFooter>&amp;RPage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0"/>
  <sheetViews>
    <sheetView tabSelected="1" zoomScale="80" zoomScaleNormal="80" zoomScaleSheetLayoutView="85" zoomScalePageLayoutView="90" workbookViewId="0">
      <selection activeCell="H5" sqref="H5"/>
    </sheetView>
  </sheetViews>
  <sheetFormatPr defaultRowHeight="15" x14ac:dyDescent="0.25"/>
  <cols>
    <col min="1" max="1" width="8.5703125" style="56" customWidth="1"/>
    <col min="2" max="2" width="28.42578125" style="56" customWidth="1"/>
    <col min="3" max="3" width="9" style="56" customWidth="1"/>
    <col min="4" max="4" width="14.140625" style="56" customWidth="1"/>
    <col min="5" max="5" width="11.140625" style="56" customWidth="1"/>
    <col min="6" max="6" width="9.85546875" style="56" customWidth="1"/>
    <col min="7" max="7" width="15.85546875" style="56" bestFit="1" customWidth="1"/>
    <col min="8" max="8" width="10.28515625" style="56" customWidth="1"/>
    <col min="9" max="9" width="17.7109375" style="56" bestFit="1" customWidth="1"/>
    <col min="10" max="10" width="10.85546875" style="56" customWidth="1"/>
    <col min="11" max="11" width="10.5703125" style="56" customWidth="1"/>
    <col min="12" max="12" width="17.7109375" style="56" customWidth="1"/>
    <col min="13" max="13" width="9" style="56" customWidth="1"/>
    <col min="14" max="14" width="10" style="56" customWidth="1"/>
    <col min="15" max="15" width="13.42578125" style="56" bestFit="1" customWidth="1"/>
    <col min="16" max="16" width="11.5703125" style="56" customWidth="1"/>
    <col min="17" max="17" width="12.85546875" style="56" customWidth="1"/>
    <col min="18" max="16384" width="9.140625" style="56"/>
  </cols>
  <sheetData>
    <row r="1" spans="1:17" x14ac:dyDescent="0.25">
      <c r="A1" s="88"/>
      <c r="B1" s="88"/>
      <c r="C1" s="88"/>
      <c r="D1" s="88"/>
    </row>
    <row r="2" spans="1:17" s="57" customFormat="1" ht="15.75" x14ac:dyDescent="0.25">
      <c r="A2" s="57" t="s">
        <v>21</v>
      </c>
    </row>
    <row r="4" spans="1:17" s="60" customFormat="1" ht="218.25" customHeight="1" x14ac:dyDescent="0.25">
      <c r="A4" s="58" t="s">
        <v>20</v>
      </c>
      <c r="B4" s="59" t="s">
        <v>22</v>
      </c>
      <c r="C4" s="58" t="s">
        <v>23</v>
      </c>
      <c r="D4" s="58" t="s">
        <v>24</v>
      </c>
      <c r="E4" s="58" t="s">
        <v>25</v>
      </c>
      <c r="F4" s="58" t="s">
        <v>26</v>
      </c>
      <c r="G4" s="58" t="s">
        <v>27</v>
      </c>
      <c r="H4" s="58" t="s">
        <v>28</v>
      </c>
      <c r="I4" s="89" t="s">
        <v>29</v>
      </c>
      <c r="J4" s="89"/>
      <c r="K4" s="58" t="s">
        <v>30</v>
      </c>
      <c r="L4" s="58" t="s">
        <v>31</v>
      </c>
      <c r="M4" s="89" t="s">
        <v>32</v>
      </c>
      <c r="N4" s="89"/>
      <c r="O4" s="89" t="s">
        <v>33</v>
      </c>
      <c r="P4" s="89"/>
      <c r="Q4" s="58" t="s">
        <v>34</v>
      </c>
    </row>
    <row r="5" spans="1:17" s="60" customFormat="1" ht="64.5" customHeight="1" x14ac:dyDescent="0.25">
      <c r="A5" s="61"/>
      <c r="B5" s="61"/>
      <c r="C5" s="61"/>
      <c r="D5" s="61"/>
      <c r="E5" s="61"/>
      <c r="F5" s="61"/>
      <c r="G5" s="61"/>
      <c r="H5" s="61"/>
      <c r="I5" s="62" t="s">
        <v>35</v>
      </c>
      <c r="J5" s="58" t="s">
        <v>36</v>
      </c>
      <c r="K5" s="61"/>
      <c r="L5" s="61"/>
      <c r="M5" s="58" t="s">
        <v>37</v>
      </c>
      <c r="N5" s="58" t="s">
        <v>38</v>
      </c>
      <c r="O5" s="58" t="s">
        <v>37</v>
      </c>
      <c r="P5" s="58" t="s">
        <v>38</v>
      </c>
      <c r="Q5" s="61"/>
    </row>
    <row r="6" spans="1:17" s="60" customFormat="1" x14ac:dyDescent="0.25">
      <c r="A6" s="61"/>
      <c r="B6" s="61"/>
      <c r="C6" s="61"/>
      <c r="D6" s="61"/>
      <c r="E6" s="61"/>
      <c r="F6" s="61"/>
      <c r="G6" s="61"/>
      <c r="H6" s="61"/>
      <c r="I6" s="62" t="s">
        <v>209</v>
      </c>
      <c r="J6" s="61"/>
      <c r="K6" s="61"/>
      <c r="L6" s="61"/>
      <c r="M6" s="61"/>
      <c r="N6" s="61"/>
      <c r="O6" s="61"/>
      <c r="P6" s="61"/>
      <c r="Q6" s="61"/>
    </row>
    <row r="7" spans="1:17" x14ac:dyDescent="0.25">
      <c r="A7" s="63" t="s">
        <v>42</v>
      </c>
      <c r="B7" s="63" t="s">
        <v>43</v>
      </c>
      <c r="C7" s="63" t="s">
        <v>44</v>
      </c>
      <c r="D7" s="63" t="s">
        <v>45</v>
      </c>
      <c r="E7" s="63" t="s">
        <v>46</v>
      </c>
      <c r="F7" s="63" t="s">
        <v>47</v>
      </c>
      <c r="G7" s="63" t="s">
        <v>48</v>
      </c>
      <c r="H7" s="63" t="s">
        <v>49</v>
      </c>
      <c r="I7" s="87" t="s">
        <v>50</v>
      </c>
      <c r="J7" s="87"/>
      <c r="K7" s="63" t="s">
        <v>51</v>
      </c>
      <c r="L7" s="63" t="s">
        <v>52</v>
      </c>
      <c r="M7" s="87" t="s">
        <v>53</v>
      </c>
      <c r="N7" s="87"/>
      <c r="O7" s="87" t="s">
        <v>54</v>
      </c>
      <c r="P7" s="87"/>
      <c r="Q7" s="63" t="s">
        <v>55</v>
      </c>
    </row>
    <row r="8" spans="1:17" x14ac:dyDescent="0.25">
      <c r="A8" s="64"/>
      <c r="B8" s="64"/>
      <c r="C8" s="64"/>
      <c r="D8" s="64"/>
      <c r="E8" s="64"/>
      <c r="F8" s="64"/>
      <c r="G8" s="64"/>
      <c r="H8" s="64"/>
      <c r="I8" s="64"/>
      <c r="J8" s="64"/>
      <c r="K8" s="64"/>
      <c r="L8" s="64"/>
      <c r="M8" s="64"/>
      <c r="N8" s="64"/>
      <c r="O8" s="64"/>
      <c r="P8" s="64"/>
      <c r="Q8" s="64"/>
    </row>
    <row r="9" spans="1:17" s="84" customFormat="1" x14ac:dyDescent="0.25">
      <c r="A9" s="64" t="s">
        <v>56</v>
      </c>
      <c r="B9" s="64" t="s">
        <v>57</v>
      </c>
      <c r="C9" s="64">
        <f>'TABLE-II'!D63</f>
        <v>41</v>
      </c>
      <c r="D9" s="64">
        <f>'TABLE-II'!E63</f>
        <v>105132468</v>
      </c>
      <c r="E9" s="64">
        <v>0</v>
      </c>
      <c r="F9" s="64">
        <v>0</v>
      </c>
      <c r="G9" s="64">
        <f>'TABLE-II'!H63</f>
        <v>105132468</v>
      </c>
      <c r="H9" s="65">
        <f>SUM(G9/141405861*100)</f>
        <v>74.348027200937594</v>
      </c>
      <c r="I9" s="64">
        <f>'TABLE-II'!J63</f>
        <v>105132468</v>
      </c>
      <c r="J9" s="65">
        <f>(I9/141405861*100)</f>
        <v>74.348027200937594</v>
      </c>
      <c r="K9" s="64">
        <v>0</v>
      </c>
      <c r="L9" s="65">
        <f>SUM((G9+K9)/141405861*100)</f>
        <v>74.348027200937594</v>
      </c>
      <c r="M9" s="64">
        <v>0</v>
      </c>
      <c r="N9" s="65">
        <f>SUM(M9/51098715*100)</f>
        <v>0</v>
      </c>
      <c r="O9" s="64">
        <f>'TABLE-II'!P63</f>
        <v>14540431</v>
      </c>
      <c r="P9" s="65">
        <f>(O9/I9)*100</f>
        <v>13.830580862992772</v>
      </c>
      <c r="Q9" s="64">
        <f>'TABLE-II'!R63</f>
        <v>105132468</v>
      </c>
    </row>
    <row r="10" spans="1:17" x14ac:dyDescent="0.25">
      <c r="A10" s="64" t="s">
        <v>58</v>
      </c>
      <c r="B10" s="64" t="s">
        <v>59</v>
      </c>
      <c r="C10" s="64">
        <f>'TABLE-III'!D38</f>
        <v>36404</v>
      </c>
      <c r="D10" s="64">
        <f>'TABLE-III'!E38</f>
        <v>36273393</v>
      </c>
      <c r="E10" s="64">
        <v>0</v>
      </c>
      <c r="F10" s="64">
        <v>0</v>
      </c>
      <c r="G10" s="64">
        <f>'TABLE-III'!H38</f>
        <v>36273393</v>
      </c>
      <c r="H10" s="65">
        <f>SUM(G10/141405861*100)</f>
        <v>25.65197279906241</v>
      </c>
      <c r="I10" s="64">
        <f>'TABLE-III'!J38</f>
        <v>36273393</v>
      </c>
      <c r="J10" s="65">
        <f>(I10/141405861*100)</f>
        <v>25.65197279906241</v>
      </c>
      <c r="K10" s="64">
        <v>0</v>
      </c>
      <c r="L10" s="65">
        <f>SUM((G10+K10)/141405861*100)</f>
        <v>25.65197279906241</v>
      </c>
      <c r="M10" s="64">
        <v>0</v>
      </c>
      <c r="N10" s="65">
        <f>SUM(M10/90307146*100)</f>
        <v>0</v>
      </c>
      <c r="O10" s="66" t="s">
        <v>60</v>
      </c>
      <c r="P10" s="66" t="s">
        <v>60</v>
      </c>
      <c r="Q10" s="64">
        <f>'TABLE-III'!R38</f>
        <v>35092641</v>
      </c>
    </row>
    <row r="11" spans="1:17" x14ac:dyDescent="0.25">
      <c r="A11" s="64" t="s">
        <v>61</v>
      </c>
      <c r="B11" s="64" t="s">
        <v>62</v>
      </c>
      <c r="C11" s="64"/>
      <c r="D11" s="64"/>
      <c r="E11" s="64"/>
      <c r="F11" s="64"/>
      <c r="G11" s="64"/>
      <c r="H11" s="64"/>
      <c r="I11" s="64"/>
      <c r="J11" s="64"/>
      <c r="K11" s="64"/>
      <c r="L11" s="64"/>
      <c r="M11" s="64"/>
      <c r="N11" s="64"/>
      <c r="O11" s="66"/>
      <c r="P11" s="66"/>
      <c r="Q11" s="64"/>
    </row>
    <row r="12" spans="1:17" x14ac:dyDescent="0.25">
      <c r="A12" s="64" t="s">
        <v>63</v>
      </c>
      <c r="B12" s="64" t="s">
        <v>64</v>
      </c>
      <c r="C12" s="64">
        <v>0</v>
      </c>
      <c r="D12" s="64">
        <v>0</v>
      </c>
      <c r="E12" s="64">
        <v>0</v>
      </c>
      <c r="F12" s="64">
        <v>0</v>
      </c>
      <c r="G12" s="64">
        <v>0</v>
      </c>
      <c r="H12" s="66" t="s">
        <v>60</v>
      </c>
      <c r="I12" s="64">
        <v>0</v>
      </c>
      <c r="J12" s="65">
        <f>(I12/141405861*100)</f>
        <v>0</v>
      </c>
      <c r="K12" s="64">
        <v>0</v>
      </c>
      <c r="L12" s="66" t="s">
        <v>60</v>
      </c>
      <c r="M12" s="64">
        <v>0</v>
      </c>
      <c r="N12" s="65">
        <v>0</v>
      </c>
      <c r="O12" s="66" t="s">
        <v>60</v>
      </c>
      <c r="P12" s="66" t="s">
        <v>60</v>
      </c>
      <c r="Q12" s="64">
        <v>0</v>
      </c>
    </row>
    <row r="13" spans="1:17" x14ac:dyDescent="0.25">
      <c r="A13" s="64" t="s">
        <v>65</v>
      </c>
      <c r="B13" s="64" t="s">
        <v>66</v>
      </c>
      <c r="C13" s="64">
        <v>0</v>
      </c>
      <c r="D13" s="64">
        <v>0</v>
      </c>
      <c r="E13" s="64">
        <v>0</v>
      </c>
      <c r="F13" s="64">
        <v>0</v>
      </c>
      <c r="G13" s="64">
        <v>0</v>
      </c>
      <c r="H13" s="65">
        <f>SUM(G13/141405861*100)</f>
        <v>0</v>
      </c>
      <c r="I13" s="64">
        <v>0</v>
      </c>
      <c r="J13" s="65">
        <f>(I13/141405861*100)</f>
        <v>0</v>
      </c>
      <c r="K13" s="64">
        <v>0</v>
      </c>
      <c r="L13" s="65">
        <f>SUM((G13+K13)/141405861*100)</f>
        <v>0</v>
      </c>
      <c r="M13" s="64">
        <v>0</v>
      </c>
      <c r="N13" s="65">
        <v>0</v>
      </c>
      <c r="O13" s="66" t="s">
        <v>60</v>
      </c>
      <c r="P13" s="66" t="s">
        <v>60</v>
      </c>
      <c r="Q13" s="64">
        <v>0</v>
      </c>
    </row>
    <row r="14" spans="1:17" x14ac:dyDescent="0.25">
      <c r="A14" s="64"/>
      <c r="B14" s="64"/>
      <c r="C14" s="64"/>
      <c r="D14" s="64"/>
      <c r="E14" s="64"/>
      <c r="F14" s="64"/>
      <c r="G14" s="64"/>
      <c r="H14" s="64"/>
      <c r="I14" s="64"/>
      <c r="J14" s="64"/>
      <c r="K14" s="64"/>
      <c r="L14" s="64"/>
      <c r="M14" s="64"/>
      <c r="N14" s="64"/>
      <c r="O14" s="64"/>
      <c r="P14" s="64"/>
      <c r="Q14" s="64"/>
    </row>
    <row r="15" spans="1:17" s="60" customFormat="1" x14ac:dyDescent="0.25">
      <c r="A15" s="61"/>
      <c r="B15" s="61" t="s">
        <v>67</v>
      </c>
      <c r="C15" s="61">
        <f t="shared" ref="C15:M15" si="0">SUM(C9:C13)</f>
        <v>36445</v>
      </c>
      <c r="D15" s="61">
        <f t="shared" si="0"/>
        <v>141405861</v>
      </c>
      <c r="E15" s="61">
        <f t="shared" si="0"/>
        <v>0</v>
      </c>
      <c r="F15" s="61">
        <f t="shared" si="0"/>
        <v>0</v>
      </c>
      <c r="G15" s="61">
        <f t="shared" si="0"/>
        <v>141405861</v>
      </c>
      <c r="H15" s="67">
        <f t="shared" si="0"/>
        <v>100</v>
      </c>
      <c r="I15" s="61">
        <f t="shared" si="0"/>
        <v>141405861</v>
      </c>
      <c r="J15" s="67">
        <f t="shared" si="0"/>
        <v>100</v>
      </c>
      <c r="K15" s="61">
        <f t="shared" si="0"/>
        <v>0</v>
      </c>
      <c r="L15" s="67">
        <f t="shared" si="0"/>
        <v>100</v>
      </c>
      <c r="M15" s="61">
        <f t="shared" si="0"/>
        <v>0</v>
      </c>
      <c r="N15" s="67">
        <f>SUM(M15/G15*100)</f>
        <v>0</v>
      </c>
      <c r="O15" s="61">
        <f>SUM(O9:O13)</f>
        <v>14540431</v>
      </c>
      <c r="P15" s="67">
        <f>SUM(P9:P13)</f>
        <v>13.830580862992772</v>
      </c>
      <c r="Q15" s="61">
        <f>SUM(Q9:Q13)</f>
        <v>140225109</v>
      </c>
    </row>
    <row r="20" spans="7:7" x14ac:dyDescent="0.25">
      <c r="G20" s="36"/>
    </row>
  </sheetData>
  <mergeCells count="7">
    <mergeCell ref="I7:J7"/>
    <mergeCell ref="M7:N7"/>
    <mergeCell ref="O7:P7"/>
    <mergeCell ref="A1:D1"/>
    <mergeCell ref="I4:J4"/>
    <mergeCell ref="M4:N4"/>
    <mergeCell ref="O4:P4"/>
  </mergeCells>
  <pageMargins left="0.28999999999999998" right="0.17" top="0.75" bottom="0.75" header="0.3" footer="0.3"/>
  <pageSetup paperSize="9" scale="64" orientation="landscape" r:id="rId1"/>
  <headerFooter differentFirst="1">
    <oddHeader>&amp;L&amp;"-,Bold"Shareholding Pattern - Regulation 31 - 
Mukand Ltd.&amp;C&amp;"-,Bold"Scrip Code (BSE)- 500460
Scrip Name (NSE)- MUKANDLTD&amp;R&amp;"-,Bold"Qtr Ended - 31st Dec, 2015</oddHeader>
    <oddFooter>&amp;CPage &amp;P of &amp;N</oddFooter>
    <firstHeader>&amp;L&amp;"-,Bold"Shareholding Pattern - Regulation 31 - 
Mukand Ltd.&amp;C&amp;"-,Bold"Scrip Code (BSE)- 500460
Scrip Name (NSE)- MUKANDLTD&amp;R&amp;"-,Bold"Qtr Ended - 30th Sep, 2019</firstHeader>
    <firstFooter>&amp;RPage 2</firstFooter>
  </headerFooter>
  <ignoredErrors>
    <ignoredError sqref="N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0"/>
  <sheetViews>
    <sheetView topLeftCell="A31" zoomScale="70" zoomScaleNormal="70" zoomScalePageLayoutView="60" workbookViewId="0">
      <selection activeCell="C33" sqref="C33"/>
    </sheetView>
  </sheetViews>
  <sheetFormatPr defaultRowHeight="15" x14ac:dyDescent="0.25"/>
  <cols>
    <col min="1" max="1" width="8.42578125" style="47" customWidth="1"/>
    <col min="2" max="2" width="42.28515625" style="47" customWidth="1"/>
    <col min="3" max="3" width="16" style="47" customWidth="1"/>
    <col min="4" max="4" width="7.85546875" style="47" customWidth="1"/>
    <col min="5" max="5" width="17.140625" style="47" customWidth="1"/>
    <col min="6" max="6" width="10.42578125" style="47" customWidth="1"/>
    <col min="7" max="7" width="9.85546875" style="47" customWidth="1"/>
    <col min="8" max="8" width="16.5703125" style="47" customWidth="1"/>
    <col min="9" max="9" width="11.5703125" style="47" customWidth="1"/>
    <col min="10" max="10" width="16.85546875" style="47" customWidth="1"/>
    <col min="11" max="11" width="11.42578125" style="47" customWidth="1"/>
    <col min="12" max="12" width="13.85546875" style="47" customWidth="1"/>
    <col min="13" max="13" width="13" style="47" customWidth="1"/>
    <col min="14" max="15" width="11.42578125" style="47" customWidth="1"/>
    <col min="16" max="16" width="13.42578125" style="47" customWidth="1"/>
    <col min="17" max="17" width="10.28515625" style="47" customWidth="1"/>
    <col min="18" max="18" width="15.85546875" style="47" customWidth="1"/>
    <col min="19" max="16384" width="9.140625" style="47"/>
  </cols>
  <sheetData>
    <row r="1" spans="1:18" s="37" customFormat="1" ht="15.75" x14ac:dyDescent="0.25">
      <c r="A1" s="37" t="s">
        <v>68</v>
      </c>
    </row>
    <row r="2" spans="1:18" ht="7.5" customHeight="1" x14ac:dyDescent="0.25"/>
    <row r="3" spans="1:18" s="39" customFormat="1" ht="246.75" customHeight="1" x14ac:dyDescent="0.25">
      <c r="A3" s="38" t="s">
        <v>20</v>
      </c>
      <c r="B3" s="38" t="s">
        <v>69</v>
      </c>
      <c r="C3" s="38" t="s">
        <v>70</v>
      </c>
      <c r="D3" s="38" t="s">
        <v>23</v>
      </c>
      <c r="E3" s="38" t="s">
        <v>24</v>
      </c>
      <c r="F3" s="38" t="s">
        <v>25</v>
      </c>
      <c r="G3" s="38" t="s">
        <v>26</v>
      </c>
      <c r="H3" s="38" t="s">
        <v>71</v>
      </c>
      <c r="I3" s="38" t="s">
        <v>72</v>
      </c>
      <c r="J3" s="91" t="s">
        <v>29</v>
      </c>
      <c r="K3" s="91"/>
      <c r="L3" s="38" t="s">
        <v>30</v>
      </c>
      <c r="M3" s="38" t="s">
        <v>31</v>
      </c>
      <c r="N3" s="91" t="s">
        <v>32</v>
      </c>
      <c r="O3" s="91"/>
      <c r="P3" s="91" t="s">
        <v>33</v>
      </c>
      <c r="Q3" s="91"/>
      <c r="R3" s="38" t="s">
        <v>34</v>
      </c>
    </row>
    <row r="4" spans="1:18" s="39" customFormat="1" ht="75" customHeight="1" x14ac:dyDescent="0.25">
      <c r="A4" s="40"/>
      <c r="B4" s="40"/>
      <c r="C4" s="40"/>
      <c r="D4" s="40"/>
      <c r="E4" s="40"/>
      <c r="F4" s="40"/>
      <c r="G4" s="40"/>
      <c r="H4" s="40"/>
      <c r="I4" s="40"/>
      <c r="J4" s="41" t="s">
        <v>35</v>
      </c>
      <c r="K4" s="38" t="s">
        <v>36</v>
      </c>
      <c r="L4" s="42"/>
      <c r="M4" s="40"/>
      <c r="N4" s="43" t="s">
        <v>37</v>
      </c>
      <c r="O4" s="38" t="s">
        <v>38</v>
      </c>
      <c r="P4" s="55" t="s">
        <v>37</v>
      </c>
      <c r="Q4" s="38" t="s">
        <v>38</v>
      </c>
      <c r="R4" s="40"/>
    </row>
    <row r="5" spans="1:18" s="39" customFormat="1" ht="34.5" customHeight="1" x14ac:dyDescent="0.25">
      <c r="A5" s="40"/>
      <c r="B5" s="40"/>
      <c r="C5" s="40"/>
      <c r="D5" s="40"/>
      <c r="E5" s="40"/>
      <c r="F5" s="40"/>
      <c r="G5" s="40"/>
      <c r="H5" s="40"/>
      <c r="I5" s="40"/>
      <c r="J5" s="41" t="s">
        <v>209</v>
      </c>
      <c r="K5" s="40"/>
      <c r="L5" s="40"/>
      <c r="M5" s="40"/>
      <c r="N5" s="40"/>
      <c r="O5" s="40"/>
      <c r="P5" s="40"/>
      <c r="Q5" s="40"/>
      <c r="R5" s="40"/>
    </row>
    <row r="6" spans="1:18" s="39" customFormat="1" x14ac:dyDescent="0.25">
      <c r="A6" s="44"/>
      <c r="B6" s="44" t="s">
        <v>42</v>
      </c>
      <c r="C6" s="44" t="s">
        <v>43</v>
      </c>
      <c r="D6" s="44" t="s">
        <v>44</v>
      </c>
      <c r="E6" s="44" t="s">
        <v>45</v>
      </c>
      <c r="F6" s="44" t="s">
        <v>46</v>
      </c>
      <c r="G6" s="44" t="s">
        <v>47</v>
      </c>
      <c r="H6" s="44" t="s">
        <v>48</v>
      </c>
      <c r="I6" s="44" t="s">
        <v>49</v>
      </c>
      <c r="J6" s="92" t="s">
        <v>50</v>
      </c>
      <c r="K6" s="92"/>
      <c r="L6" s="44" t="s">
        <v>51</v>
      </c>
      <c r="M6" s="44" t="s">
        <v>52</v>
      </c>
      <c r="N6" s="92" t="s">
        <v>53</v>
      </c>
      <c r="O6" s="92"/>
      <c r="P6" s="92" t="s">
        <v>54</v>
      </c>
      <c r="Q6" s="92"/>
      <c r="R6" s="44" t="s">
        <v>55</v>
      </c>
    </row>
    <row r="7" spans="1:18" x14ac:dyDescent="0.25">
      <c r="A7" s="45" t="s">
        <v>73</v>
      </c>
      <c r="B7" s="46" t="s">
        <v>74</v>
      </c>
      <c r="C7" s="46"/>
      <c r="D7" s="46"/>
      <c r="E7" s="46"/>
      <c r="F7" s="46"/>
      <c r="G7" s="46"/>
      <c r="H7" s="46"/>
      <c r="I7" s="46"/>
      <c r="J7" s="46"/>
      <c r="K7" s="46"/>
      <c r="L7" s="46"/>
      <c r="M7" s="46"/>
      <c r="N7" s="46"/>
      <c r="O7" s="46"/>
      <c r="P7" s="46"/>
      <c r="Q7" s="46"/>
      <c r="R7" s="46"/>
    </row>
    <row r="8" spans="1:18" x14ac:dyDescent="0.25">
      <c r="A8" s="48" t="s">
        <v>75</v>
      </c>
      <c r="B8" s="46" t="s">
        <v>76</v>
      </c>
      <c r="C8" s="46"/>
      <c r="D8" s="46"/>
      <c r="E8" s="46"/>
      <c r="F8" s="46"/>
      <c r="G8" s="46"/>
      <c r="H8" s="46"/>
      <c r="I8" s="49"/>
      <c r="J8" s="46"/>
      <c r="K8" s="49"/>
      <c r="L8" s="46"/>
      <c r="M8" s="49"/>
      <c r="N8" s="46"/>
      <c r="O8" s="49"/>
      <c r="P8" s="46"/>
      <c r="Q8" s="49"/>
      <c r="R8" s="46"/>
    </row>
    <row r="9" spans="1:18" x14ac:dyDescent="0.25">
      <c r="A9" s="48">
        <v>1</v>
      </c>
      <c r="B9" s="46" t="s">
        <v>133</v>
      </c>
      <c r="C9" s="46" t="s">
        <v>149</v>
      </c>
      <c r="D9" s="46"/>
      <c r="E9" s="46">
        <v>712044</v>
      </c>
      <c r="F9" s="46">
        <v>0</v>
      </c>
      <c r="G9" s="46">
        <v>0</v>
      </c>
      <c r="H9" s="46">
        <f>+E9+F9+G9</f>
        <v>712044</v>
      </c>
      <c r="I9" s="49">
        <f t="shared" ref="I9:I48" si="0">SUM(H9/141405861*100)</f>
        <v>0.50354631340210154</v>
      </c>
      <c r="J9" s="46">
        <v>712044</v>
      </c>
      <c r="K9" s="49">
        <f t="shared" ref="K9:K53" si="1">+(J9/141405861*100)</f>
        <v>0.50354631340210154</v>
      </c>
      <c r="L9" s="46">
        <v>0</v>
      </c>
      <c r="M9" s="49">
        <f t="shared" ref="M9:M26" si="2">SUM((H9+L9)/141405861*100)</f>
        <v>0.50354631340210154</v>
      </c>
      <c r="N9" s="46">
        <v>0</v>
      </c>
      <c r="O9" s="49">
        <v>0</v>
      </c>
      <c r="P9" s="46">
        <v>0</v>
      </c>
      <c r="Q9" s="49">
        <f>+(P9/J9)*100</f>
        <v>0</v>
      </c>
      <c r="R9" s="46">
        <v>712044</v>
      </c>
    </row>
    <row r="10" spans="1:18" x14ac:dyDescent="0.25">
      <c r="A10" s="50">
        <f>1+A9</f>
        <v>2</v>
      </c>
      <c r="B10" s="46" t="s">
        <v>134</v>
      </c>
      <c r="C10" s="46" t="s">
        <v>150</v>
      </c>
      <c r="D10" s="46"/>
      <c r="E10" s="46">
        <v>11786730</v>
      </c>
      <c r="F10" s="46">
        <v>0</v>
      </c>
      <c r="G10" s="46">
        <v>0</v>
      </c>
      <c r="H10" s="46">
        <f t="shared" ref="H10:H48" si="3">+E10+F10+G10</f>
        <v>11786730</v>
      </c>
      <c r="I10" s="49">
        <f t="shared" si="0"/>
        <v>8.3353900019745293</v>
      </c>
      <c r="J10" s="46">
        <v>11786730</v>
      </c>
      <c r="K10" s="49">
        <f t="shared" si="1"/>
        <v>8.3353900019745293</v>
      </c>
      <c r="L10" s="46">
        <v>0</v>
      </c>
      <c r="M10" s="49">
        <f t="shared" si="2"/>
        <v>8.3353900019745293</v>
      </c>
      <c r="N10" s="46">
        <v>0</v>
      </c>
      <c r="O10" s="49">
        <v>0</v>
      </c>
      <c r="P10" s="46">
        <v>0</v>
      </c>
      <c r="Q10" s="49">
        <f>+(P10/J10)*100</f>
        <v>0</v>
      </c>
      <c r="R10" s="46">
        <v>11786730</v>
      </c>
    </row>
    <row r="11" spans="1:18" x14ac:dyDescent="0.25">
      <c r="A11" s="50">
        <f>1+A10</f>
        <v>3</v>
      </c>
      <c r="B11" s="46" t="s">
        <v>135</v>
      </c>
      <c r="C11" s="46" t="s">
        <v>206</v>
      </c>
      <c r="D11" s="46"/>
      <c r="E11" s="46">
        <f>7200842+1165</f>
        <v>7202007</v>
      </c>
      <c r="F11" s="46">
        <v>0</v>
      </c>
      <c r="G11" s="46">
        <v>0</v>
      </c>
      <c r="H11" s="46">
        <f>+E11+F11+G11</f>
        <v>7202007</v>
      </c>
      <c r="I11" s="49">
        <f>SUM(H11/141405861*100)</f>
        <v>5.0931460330346559</v>
      </c>
      <c r="J11" s="46">
        <v>7202007</v>
      </c>
      <c r="K11" s="49">
        <f t="shared" si="1"/>
        <v>5.0931460330346559</v>
      </c>
      <c r="L11" s="46">
        <v>0</v>
      </c>
      <c r="M11" s="49">
        <f t="shared" si="2"/>
        <v>5.0931460330346559</v>
      </c>
      <c r="N11" s="46">
        <v>0</v>
      </c>
      <c r="O11" s="49">
        <v>0</v>
      </c>
      <c r="P11" s="46">
        <v>3706200</v>
      </c>
      <c r="Q11" s="49">
        <f>+(P11/E11)*100</f>
        <v>51.460655342323328</v>
      </c>
      <c r="R11" s="46">
        <v>7202007</v>
      </c>
    </row>
    <row r="12" spans="1:18" x14ac:dyDescent="0.25">
      <c r="A12" s="50">
        <f t="shared" ref="A12:A26" si="4">1+A11</f>
        <v>4</v>
      </c>
      <c r="B12" s="46" t="s">
        <v>223</v>
      </c>
      <c r="C12" s="46" t="s">
        <v>207</v>
      </c>
      <c r="D12" s="46"/>
      <c r="E12" s="46">
        <f>1015381-970000</f>
        <v>45381</v>
      </c>
      <c r="F12" s="46">
        <v>0</v>
      </c>
      <c r="G12" s="46">
        <v>0</v>
      </c>
      <c r="H12" s="46">
        <f t="shared" si="3"/>
        <v>45381</v>
      </c>
      <c r="I12" s="49">
        <f t="shared" si="0"/>
        <v>3.2092729169125457E-2</v>
      </c>
      <c r="J12" s="46">
        <v>45381</v>
      </c>
      <c r="K12" s="49">
        <f t="shared" si="1"/>
        <v>3.2092729169125457E-2</v>
      </c>
      <c r="L12" s="46">
        <v>0</v>
      </c>
      <c r="M12" s="49">
        <f t="shared" si="2"/>
        <v>3.2092729169125457E-2</v>
      </c>
      <c r="N12" s="46">
        <v>0</v>
      </c>
      <c r="O12" s="49">
        <v>0</v>
      </c>
      <c r="P12" s="46">
        <v>0</v>
      </c>
      <c r="Q12" s="49">
        <f>+(P12/E12)*100</f>
        <v>0</v>
      </c>
      <c r="R12" s="46">
        <v>45381</v>
      </c>
    </row>
    <row r="13" spans="1:18" x14ac:dyDescent="0.25">
      <c r="A13" s="50">
        <f t="shared" si="4"/>
        <v>5</v>
      </c>
      <c r="B13" s="46" t="s">
        <v>136</v>
      </c>
      <c r="C13" s="46" t="s">
        <v>154</v>
      </c>
      <c r="D13" s="46"/>
      <c r="E13" s="46">
        <v>1787</v>
      </c>
      <c r="F13" s="46">
        <v>0</v>
      </c>
      <c r="G13" s="46">
        <v>0</v>
      </c>
      <c r="H13" s="46">
        <f t="shared" si="3"/>
        <v>1787</v>
      </c>
      <c r="I13" s="49">
        <f t="shared" si="0"/>
        <v>1.2637382830970494E-3</v>
      </c>
      <c r="J13" s="46">
        <v>1787</v>
      </c>
      <c r="K13" s="49">
        <f t="shared" si="1"/>
        <v>1.2637382830970494E-3</v>
      </c>
      <c r="L13" s="46">
        <v>0</v>
      </c>
      <c r="M13" s="49">
        <f t="shared" si="2"/>
        <v>1.2637382830970494E-3</v>
      </c>
      <c r="N13" s="46">
        <v>0</v>
      </c>
      <c r="O13" s="49">
        <v>0</v>
      </c>
      <c r="P13" s="46">
        <v>0</v>
      </c>
      <c r="Q13" s="49">
        <f t="shared" ref="Q13:Q21" si="5">+(P13/J13)*100</f>
        <v>0</v>
      </c>
      <c r="R13" s="46">
        <v>1787</v>
      </c>
    </row>
    <row r="14" spans="1:18" x14ac:dyDescent="0.25">
      <c r="A14" s="50">
        <f t="shared" si="4"/>
        <v>6</v>
      </c>
      <c r="B14" s="46" t="s">
        <v>137</v>
      </c>
      <c r="C14" s="46" t="s">
        <v>151</v>
      </c>
      <c r="D14" s="46"/>
      <c r="E14" s="46">
        <v>711134</v>
      </c>
      <c r="F14" s="46">
        <v>0</v>
      </c>
      <c r="G14" s="46">
        <v>0</v>
      </c>
      <c r="H14" s="46">
        <f t="shared" si="3"/>
        <v>711134</v>
      </c>
      <c r="I14" s="49">
        <f t="shared" si="0"/>
        <v>0.50290277572016628</v>
      </c>
      <c r="J14" s="46">
        <v>711134</v>
      </c>
      <c r="K14" s="49">
        <f t="shared" si="1"/>
        <v>0.50290277572016628</v>
      </c>
      <c r="L14" s="46">
        <v>0</v>
      </c>
      <c r="M14" s="49">
        <f t="shared" si="2"/>
        <v>0.50290277572016628</v>
      </c>
      <c r="N14" s="46">
        <v>0</v>
      </c>
      <c r="O14" s="49">
        <v>0</v>
      </c>
      <c r="P14" s="46">
        <v>0</v>
      </c>
      <c r="Q14" s="49">
        <f t="shared" si="5"/>
        <v>0</v>
      </c>
      <c r="R14" s="46">
        <v>711134</v>
      </c>
    </row>
    <row r="15" spans="1:18" x14ac:dyDescent="0.25">
      <c r="A15" s="50">
        <f t="shared" si="4"/>
        <v>7</v>
      </c>
      <c r="B15" s="46" t="s">
        <v>138</v>
      </c>
      <c r="C15" s="46" t="s">
        <v>152</v>
      </c>
      <c r="D15" s="46"/>
      <c r="E15" s="46">
        <v>717133</v>
      </c>
      <c r="F15" s="46">
        <v>0</v>
      </c>
      <c r="G15" s="46">
        <v>0</v>
      </c>
      <c r="H15" s="46">
        <f t="shared" si="3"/>
        <v>717133</v>
      </c>
      <c r="I15" s="49">
        <f t="shared" si="0"/>
        <v>0.50714517413107796</v>
      </c>
      <c r="J15" s="46">
        <v>717133</v>
      </c>
      <c r="K15" s="49">
        <f t="shared" si="1"/>
        <v>0.50714517413107796</v>
      </c>
      <c r="L15" s="46">
        <v>0</v>
      </c>
      <c r="M15" s="49">
        <f t="shared" si="2"/>
        <v>0.50714517413107796</v>
      </c>
      <c r="N15" s="46">
        <v>0</v>
      </c>
      <c r="O15" s="49">
        <v>0</v>
      </c>
      <c r="P15" s="46">
        <v>0</v>
      </c>
      <c r="Q15" s="49">
        <f t="shared" si="5"/>
        <v>0</v>
      </c>
      <c r="R15" s="46">
        <v>717133</v>
      </c>
    </row>
    <row r="16" spans="1:18" ht="21" x14ac:dyDescent="0.3">
      <c r="A16" s="50">
        <f t="shared" si="4"/>
        <v>8</v>
      </c>
      <c r="B16" s="34" t="s">
        <v>231</v>
      </c>
      <c r="C16" s="46" t="s">
        <v>153</v>
      </c>
      <c r="D16" s="46"/>
      <c r="E16" s="46">
        <v>86400</v>
      </c>
      <c r="F16" s="46">
        <v>0</v>
      </c>
      <c r="G16" s="46">
        <v>0</v>
      </c>
      <c r="H16" s="46">
        <f t="shared" si="3"/>
        <v>86400</v>
      </c>
      <c r="I16" s="49">
        <f t="shared" si="0"/>
        <v>6.1100720570556835E-2</v>
      </c>
      <c r="J16" s="46">
        <v>86400</v>
      </c>
      <c r="K16" s="49">
        <f t="shared" si="1"/>
        <v>6.1100720570556835E-2</v>
      </c>
      <c r="L16" s="46">
        <v>0</v>
      </c>
      <c r="M16" s="49">
        <f t="shared" si="2"/>
        <v>6.1100720570556835E-2</v>
      </c>
      <c r="N16" s="46">
        <v>0</v>
      </c>
      <c r="O16" s="49">
        <v>0</v>
      </c>
      <c r="P16" s="46">
        <v>0</v>
      </c>
      <c r="Q16" s="49">
        <f t="shared" si="5"/>
        <v>0</v>
      </c>
      <c r="R16" s="46">
        <v>86400</v>
      </c>
    </row>
    <row r="17" spans="1:18" x14ac:dyDescent="0.25">
      <c r="A17" s="50">
        <f t="shared" si="4"/>
        <v>9</v>
      </c>
      <c r="B17" s="46" t="s">
        <v>139</v>
      </c>
      <c r="C17" s="46" t="s">
        <v>155</v>
      </c>
      <c r="D17" s="46"/>
      <c r="E17" s="46">
        <v>192000</v>
      </c>
      <c r="F17" s="46">
        <v>0</v>
      </c>
      <c r="G17" s="46">
        <v>0</v>
      </c>
      <c r="H17" s="46">
        <f t="shared" si="3"/>
        <v>192000</v>
      </c>
      <c r="I17" s="49">
        <f t="shared" si="0"/>
        <v>0.13577937904568185</v>
      </c>
      <c r="J17" s="46">
        <v>192000</v>
      </c>
      <c r="K17" s="49">
        <f t="shared" si="1"/>
        <v>0.13577937904568185</v>
      </c>
      <c r="L17" s="46">
        <v>0</v>
      </c>
      <c r="M17" s="49">
        <f t="shared" si="2"/>
        <v>0.13577937904568185</v>
      </c>
      <c r="N17" s="46">
        <v>0</v>
      </c>
      <c r="O17" s="49">
        <v>0</v>
      </c>
      <c r="P17" s="46">
        <v>0</v>
      </c>
      <c r="Q17" s="49">
        <f t="shared" si="5"/>
        <v>0</v>
      </c>
      <c r="R17" s="46">
        <v>192000</v>
      </c>
    </row>
    <row r="18" spans="1:18" x14ac:dyDescent="0.25">
      <c r="A18" s="50">
        <f t="shared" si="4"/>
        <v>10</v>
      </c>
      <c r="B18" s="46" t="s">
        <v>140</v>
      </c>
      <c r="C18" s="46" t="s">
        <v>156</v>
      </c>
      <c r="D18" s="46"/>
      <c r="E18" s="46">
        <v>1363</v>
      </c>
      <c r="F18" s="46">
        <v>0</v>
      </c>
      <c r="G18" s="46">
        <v>0</v>
      </c>
      <c r="H18" s="46">
        <f t="shared" si="3"/>
        <v>1363</v>
      </c>
      <c r="I18" s="49">
        <f t="shared" si="0"/>
        <v>9.6389215437116846E-4</v>
      </c>
      <c r="J18" s="46">
        <v>1363</v>
      </c>
      <c r="K18" s="49">
        <f t="shared" si="1"/>
        <v>9.6389215437116846E-4</v>
      </c>
      <c r="L18" s="46">
        <v>0</v>
      </c>
      <c r="M18" s="49">
        <f t="shared" si="2"/>
        <v>9.6389215437116846E-4</v>
      </c>
      <c r="N18" s="46">
        <v>0</v>
      </c>
      <c r="O18" s="49">
        <v>0</v>
      </c>
      <c r="P18" s="46">
        <v>0</v>
      </c>
      <c r="Q18" s="49">
        <f t="shared" si="5"/>
        <v>0</v>
      </c>
      <c r="R18" s="46">
        <v>1363</v>
      </c>
    </row>
    <row r="19" spans="1:18" x14ac:dyDescent="0.25">
      <c r="A19" s="50">
        <f t="shared" si="4"/>
        <v>11</v>
      </c>
      <c r="B19" s="46" t="s">
        <v>141</v>
      </c>
      <c r="C19" s="46" t="s">
        <v>163</v>
      </c>
      <c r="D19" s="46"/>
      <c r="E19" s="46">
        <v>3744</v>
      </c>
      <c r="F19" s="46">
        <v>0</v>
      </c>
      <c r="G19" s="46">
        <v>0</v>
      </c>
      <c r="H19" s="46">
        <f t="shared" si="3"/>
        <v>3744</v>
      </c>
      <c r="I19" s="49">
        <f t="shared" si="0"/>
        <v>2.6476978913907959E-3</v>
      </c>
      <c r="J19" s="46">
        <v>3744</v>
      </c>
      <c r="K19" s="49">
        <f t="shared" si="1"/>
        <v>2.6476978913907959E-3</v>
      </c>
      <c r="L19" s="46">
        <v>0</v>
      </c>
      <c r="M19" s="49">
        <f t="shared" si="2"/>
        <v>2.6476978913907959E-3</v>
      </c>
      <c r="N19" s="46">
        <v>0</v>
      </c>
      <c r="O19" s="49">
        <v>0</v>
      </c>
      <c r="P19" s="46">
        <v>0</v>
      </c>
      <c r="Q19" s="49">
        <f t="shared" si="5"/>
        <v>0</v>
      </c>
      <c r="R19" s="46">
        <v>3744</v>
      </c>
    </row>
    <row r="20" spans="1:18" x14ac:dyDescent="0.25">
      <c r="A20" s="48">
        <f t="shared" si="4"/>
        <v>12</v>
      </c>
      <c r="B20" s="51" t="s">
        <v>142</v>
      </c>
      <c r="C20" s="46" t="s">
        <v>157</v>
      </c>
      <c r="D20" s="46"/>
      <c r="E20" s="46">
        <v>11634</v>
      </c>
      <c r="F20" s="46">
        <v>0</v>
      </c>
      <c r="G20" s="46">
        <v>0</v>
      </c>
      <c r="H20" s="46">
        <f t="shared" si="3"/>
        <v>11634</v>
      </c>
      <c r="I20" s="49">
        <f t="shared" si="0"/>
        <v>8.227381749049285E-3</v>
      </c>
      <c r="J20" s="46">
        <v>11634</v>
      </c>
      <c r="K20" s="49">
        <f t="shared" si="1"/>
        <v>8.227381749049285E-3</v>
      </c>
      <c r="L20" s="46">
        <v>0</v>
      </c>
      <c r="M20" s="49">
        <f t="shared" si="2"/>
        <v>8.227381749049285E-3</v>
      </c>
      <c r="N20" s="46">
        <v>0</v>
      </c>
      <c r="O20" s="49">
        <v>0</v>
      </c>
      <c r="P20" s="46">
        <v>0</v>
      </c>
      <c r="Q20" s="49">
        <f t="shared" si="5"/>
        <v>0</v>
      </c>
      <c r="R20" s="46">
        <v>11634</v>
      </c>
    </row>
    <row r="21" spans="1:18" x14ac:dyDescent="0.25">
      <c r="A21" s="50">
        <f t="shared" si="4"/>
        <v>13</v>
      </c>
      <c r="B21" s="46" t="s">
        <v>143</v>
      </c>
      <c r="C21" s="46" t="s">
        <v>158</v>
      </c>
      <c r="D21" s="46"/>
      <c r="E21" s="46">
        <v>99605</v>
      </c>
      <c r="F21" s="46">
        <v>0</v>
      </c>
      <c r="G21" s="46">
        <v>0</v>
      </c>
      <c r="H21" s="46">
        <f t="shared" si="3"/>
        <v>99605</v>
      </c>
      <c r="I21" s="49">
        <f t="shared" si="0"/>
        <v>7.0439088801276778E-2</v>
      </c>
      <c r="J21" s="46">
        <v>99605</v>
      </c>
      <c r="K21" s="49">
        <f t="shared" si="1"/>
        <v>7.0439088801276778E-2</v>
      </c>
      <c r="L21" s="46">
        <v>0</v>
      </c>
      <c r="M21" s="49">
        <f t="shared" si="2"/>
        <v>7.0439088801276778E-2</v>
      </c>
      <c r="N21" s="46">
        <v>0</v>
      </c>
      <c r="O21" s="49">
        <v>0</v>
      </c>
      <c r="P21" s="46">
        <v>0</v>
      </c>
      <c r="Q21" s="49">
        <f t="shared" si="5"/>
        <v>0</v>
      </c>
      <c r="R21" s="46">
        <v>99605</v>
      </c>
    </row>
    <row r="22" spans="1:18" x14ac:dyDescent="0.25">
      <c r="A22" s="50">
        <f t="shared" si="4"/>
        <v>14</v>
      </c>
      <c r="B22" s="46" t="s">
        <v>144</v>
      </c>
      <c r="C22" s="46" t="s">
        <v>159</v>
      </c>
      <c r="D22" s="46"/>
      <c r="E22" s="46">
        <v>3431542</v>
      </c>
      <c r="F22" s="46">
        <v>0</v>
      </c>
      <c r="G22" s="46">
        <v>0</v>
      </c>
      <c r="H22" s="46">
        <f t="shared" si="3"/>
        <v>3431542</v>
      </c>
      <c r="I22" s="49">
        <f t="shared" si="0"/>
        <v>2.4267325100477981</v>
      </c>
      <c r="J22" s="46">
        <v>3431542</v>
      </c>
      <c r="K22" s="49">
        <f t="shared" si="1"/>
        <v>2.4267325100477981</v>
      </c>
      <c r="L22" s="46">
        <v>0</v>
      </c>
      <c r="M22" s="49">
        <f t="shared" si="2"/>
        <v>2.4267325100477981</v>
      </c>
      <c r="N22" s="46">
        <v>0</v>
      </c>
      <c r="O22" s="49">
        <v>0</v>
      </c>
      <c r="P22" s="46">
        <v>2754456</v>
      </c>
      <c r="Q22" s="49">
        <f>+(P22/E22)*100</f>
        <v>80.26875381388308</v>
      </c>
      <c r="R22" s="46">
        <v>3431542</v>
      </c>
    </row>
    <row r="23" spans="1:18" x14ac:dyDescent="0.25">
      <c r="A23" s="50">
        <f t="shared" si="4"/>
        <v>15</v>
      </c>
      <c r="B23" s="46" t="s">
        <v>145</v>
      </c>
      <c r="C23" s="46" t="s">
        <v>160</v>
      </c>
      <c r="D23" s="46"/>
      <c r="E23" s="46">
        <v>4975352</v>
      </c>
      <c r="F23" s="46">
        <v>0</v>
      </c>
      <c r="G23" s="46">
        <v>0</v>
      </c>
      <c r="H23" s="46">
        <f t="shared" si="3"/>
        <v>4975352</v>
      </c>
      <c r="I23" s="49">
        <f t="shared" si="0"/>
        <v>3.5184906515296417</v>
      </c>
      <c r="J23" s="46">
        <v>4975352</v>
      </c>
      <c r="K23" s="49">
        <f t="shared" si="1"/>
        <v>3.5184906515296417</v>
      </c>
      <c r="L23" s="46">
        <v>0</v>
      </c>
      <c r="M23" s="49">
        <f t="shared" si="2"/>
        <v>3.5184906515296417</v>
      </c>
      <c r="N23" s="46">
        <v>0</v>
      </c>
      <c r="O23" s="49">
        <v>0</v>
      </c>
      <c r="P23" s="46">
        <v>4975352</v>
      </c>
      <c r="Q23" s="49">
        <f>+(P23/E23)*100</f>
        <v>100</v>
      </c>
      <c r="R23" s="46">
        <v>4975352</v>
      </c>
    </row>
    <row r="24" spans="1:18" x14ac:dyDescent="0.25">
      <c r="A24" s="50">
        <f t="shared" si="4"/>
        <v>16</v>
      </c>
      <c r="B24" s="46" t="s">
        <v>146</v>
      </c>
      <c r="C24" s="46" t="s">
        <v>161</v>
      </c>
      <c r="D24" s="46"/>
      <c r="E24" s="46">
        <v>960046</v>
      </c>
      <c r="F24" s="46">
        <v>0</v>
      </c>
      <c r="G24" s="46">
        <v>0</v>
      </c>
      <c r="H24" s="46">
        <f t="shared" si="3"/>
        <v>960046</v>
      </c>
      <c r="I24" s="49">
        <f t="shared" si="0"/>
        <v>0.67892942570463888</v>
      </c>
      <c r="J24" s="46">
        <v>960046</v>
      </c>
      <c r="K24" s="49">
        <f t="shared" si="1"/>
        <v>0.67892942570463888</v>
      </c>
      <c r="L24" s="46">
        <v>0</v>
      </c>
      <c r="M24" s="49">
        <f t="shared" si="2"/>
        <v>0.67892942570463888</v>
      </c>
      <c r="N24" s="46">
        <v>0</v>
      </c>
      <c r="O24" s="49">
        <v>0</v>
      </c>
      <c r="P24" s="46">
        <v>480023</v>
      </c>
      <c r="Q24" s="49">
        <f>+(P24/E24)*100</f>
        <v>50</v>
      </c>
      <c r="R24" s="46">
        <v>960046</v>
      </c>
    </row>
    <row r="25" spans="1:18" x14ac:dyDescent="0.25">
      <c r="A25" s="50">
        <f t="shared" si="4"/>
        <v>17</v>
      </c>
      <c r="B25" s="46" t="s">
        <v>147</v>
      </c>
      <c r="C25" s="46" t="s">
        <v>162</v>
      </c>
      <c r="D25" s="46"/>
      <c r="E25" s="46">
        <v>96000</v>
      </c>
      <c r="F25" s="46">
        <v>0</v>
      </c>
      <c r="G25" s="46">
        <v>0</v>
      </c>
      <c r="H25" s="46">
        <f t="shared" si="3"/>
        <v>96000</v>
      </c>
      <c r="I25" s="49">
        <f t="shared" si="0"/>
        <v>6.7889689522840926E-2</v>
      </c>
      <c r="J25" s="46">
        <v>96000</v>
      </c>
      <c r="K25" s="49">
        <f t="shared" si="1"/>
        <v>6.7889689522840926E-2</v>
      </c>
      <c r="L25" s="46">
        <v>0</v>
      </c>
      <c r="M25" s="49">
        <f t="shared" si="2"/>
        <v>6.7889689522840926E-2</v>
      </c>
      <c r="N25" s="46">
        <v>0</v>
      </c>
      <c r="O25" s="49">
        <v>0</v>
      </c>
      <c r="P25" s="46">
        <v>48000</v>
      </c>
      <c r="Q25" s="49">
        <f>+(P25/E25)*100</f>
        <v>50</v>
      </c>
      <c r="R25" s="46">
        <v>96000</v>
      </c>
    </row>
    <row r="26" spans="1:18" x14ac:dyDescent="0.25">
      <c r="A26" s="50">
        <f t="shared" si="4"/>
        <v>18</v>
      </c>
      <c r="B26" s="46" t="s">
        <v>148</v>
      </c>
      <c r="C26" s="46" t="s">
        <v>164</v>
      </c>
      <c r="D26" s="46"/>
      <c r="E26" s="46">
        <v>2017538</v>
      </c>
      <c r="F26" s="46">
        <v>0</v>
      </c>
      <c r="G26" s="46">
        <v>0</v>
      </c>
      <c r="H26" s="46">
        <f t="shared" si="3"/>
        <v>2017538</v>
      </c>
      <c r="I26" s="49">
        <f t="shared" si="0"/>
        <v>1.4267711293805565</v>
      </c>
      <c r="J26" s="46">
        <v>2017538</v>
      </c>
      <c r="K26" s="49">
        <f t="shared" si="1"/>
        <v>1.4267711293805565</v>
      </c>
      <c r="L26" s="46">
        <v>0</v>
      </c>
      <c r="M26" s="49">
        <f t="shared" si="2"/>
        <v>1.4267711293805565</v>
      </c>
      <c r="N26" s="46">
        <v>0</v>
      </c>
      <c r="O26" s="49">
        <v>0</v>
      </c>
      <c r="P26" s="46">
        <v>1826400</v>
      </c>
      <c r="Q26" s="49">
        <f>+(P26/J26)*100</f>
        <v>90.526175962980631</v>
      </c>
      <c r="R26" s="46">
        <v>2017538</v>
      </c>
    </row>
    <row r="27" spans="1:18" x14ac:dyDescent="0.25">
      <c r="A27" s="48" t="s">
        <v>77</v>
      </c>
      <c r="B27" s="46" t="s">
        <v>78</v>
      </c>
      <c r="C27" s="46"/>
      <c r="D27" s="46">
        <v>0</v>
      </c>
      <c r="E27" s="46">
        <v>0</v>
      </c>
      <c r="F27" s="46">
        <v>0</v>
      </c>
      <c r="G27" s="46">
        <v>0</v>
      </c>
      <c r="H27" s="46">
        <f t="shared" si="3"/>
        <v>0</v>
      </c>
      <c r="I27" s="49">
        <f t="shared" si="0"/>
        <v>0</v>
      </c>
      <c r="J27" s="46">
        <v>0</v>
      </c>
      <c r="K27" s="49">
        <f t="shared" si="1"/>
        <v>0</v>
      </c>
      <c r="L27" s="46">
        <v>0</v>
      </c>
      <c r="M27" s="49">
        <f>SUM((H27+L27)/141405861*100)</f>
        <v>0</v>
      </c>
      <c r="N27" s="46">
        <v>0</v>
      </c>
      <c r="O27" s="49">
        <v>0</v>
      </c>
      <c r="P27" s="46">
        <v>0</v>
      </c>
      <c r="Q27" s="49">
        <v>0</v>
      </c>
      <c r="R27" s="46">
        <v>0</v>
      </c>
    </row>
    <row r="28" spans="1:18" x14ac:dyDescent="0.25">
      <c r="A28" s="48" t="s">
        <v>79</v>
      </c>
      <c r="B28" s="46" t="s">
        <v>80</v>
      </c>
      <c r="C28" s="46"/>
      <c r="D28" s="46">
        <v>0</v>
      </c>
      <c r="E28" s="46">
        <v>0</v>
      </c>
      <c r="F28" s="46">
        <v>0</v>
      </c>
      <c r="G28" s="46">
        <v>0</v>
      </c>
      <c r="H28" s="46">
        <f t="shared" si="3"/>
        <v>0</v>
      </c>
      <c r="I28" s="49">
        <f t="shared" si="0"/>
        <v>0</v>
      </c>
      <c r="J28" s="46">
        <v>0</v>
      </c>
      <c r="K28" s="49">
        <f t="shared" si="1"/>
        <v>0</v>
      </c>
      <c r="L28" s="46">
        <v>0</v>
      </c>
      <c r="M28" s="49">
        <f>SUM((H28+L28)/141405861*100)</f>
        <v>0</v>
      </c>
      <c r="N28" s="46">
        <v>0</v>
      </c>
      <c r="O28" s="49">
        <v>0</v>
      </c>
      <c r="P28" s="46">
        <v>0</v>
      </c>
      <c r="Q28" s="49">
        <f t="shared" ref="Q28:Q53" si="6">+(P28/141405861)*100</f>
        <v>0</v>
      </c>
      <c r="R28" s="46">
        <v>0</v>
      </c>
    </row>
    <row r="29" spans="1:18" x14ac:dyDescent="0.25">
      <c r="A29" s="48" t="s">
        <v>81</v>
      </c>
      <c r="B29" s="46" t="s">
        <v>82</v>
      </c>
      <c r="C29" s="46"/>
      <c r="D29" s="46"/>
      <c r="E29" s="46"/>
      <c r="F29" s="46"/>
      <c r="G29" s="46"/>
      <c r="H29" s="46"/>
      <c r="I29" s="49"/>
      <c r="J29" s="46"/>
      <c r="K29" s="49"/>
      <c r="L29" s="46"/>
      <c r="M29" s="49"/>
      <c r="N29" s="46"/>
      <c r="O29" s="49"/>
      <c r="P29" s="46"/>
      <c r="Q29" s="49"/>
      <c r="R29" s="46"/>
    </row>
    <row r="30" spans="1:18" x14ac:dyDescent="0.25">
      <c r="A30" s="48" t="s">
        <v>56</v>
      </c>
      <c r="B30" s="46" t="s">
        <v>202</v>
      </c>
      <c r="C30" s="46"/>
      <c r="D30" s="46"/>
      <c r="E30" s="46"/>
      <c r="F30" s="46"/>
      <c r="G30" s="46"/>
      <c r="H30" s="46"/>
      <c r="I30" s="49"/>
      <c r="J30" s="46"/>
      <c r="K30" s="49"/>
      <c r="L30" s="46"/>
      <c r="M30" s="49"/>
      <c r="N30" s="46"/>
      <c r="O30" s="49"/>
      <c r="P30" s="46"/>
      <c r="Q30" s="49"/>
      <c r="R30" s="46"/>
    </row>
    <row r="31" spans="1:18" x14ac:dyDescent="0.25">
      <c r="A31" s="48">
        <v>1</v>
      </c>
      <c r="B31" s="46" t="s">
        <v>165</v>
      </c>
      <c r="C31" s="46" t="s">
        <v>183</v>
      </c>
      <c r="D31" s="46"/>
      <c r="E31" s="46">
        <v>260</v>
      </c>
      <c r="F31" s="46">
        <v>0</v>
      </c>
      <c r="G31" s="46">
        <v>0</v>
      </c>
      <c r="H31" s="46">
        <f t="shared" si="3"/>
        <v>260</v>
      </c>
      <c r="I31" s="49">
        <f t="shared" si="0"/>
        <v>1.8386790912436083E-4</v>
      </c>
      <c r="J31" s="46">
        <v>260</v>
      </c>
      <c r="K31" s="49">
        <f t="shared" si="1"/>
        <v>1.8386790912436083E-4</v>
      </c>
      <c r="L31" s="46">
        <v>0</v>
      </c>
      <c r="M31" s="49">
        <f t="shared" ref="M31:M48" si="7">SUM((H31+L31)/141405861*100)</f>
        <v>1.8386790912436083E-4</v>
      </c>
      <c r="N31" s="46">
        <v>0</v>
      </c>
      <c r="O31" s="49">
        <v>0</v>
      </c>
      <c r="P31" s="46">
        <v>0</v>
      </c>
      <c r="Q31" s="49">
        <f>+(P31/141405861)*100</f>
        <v>0</v>
      </c>
      <c r="R31" s="46">
        <v>260</v>
      </c>
    </row>
    <row r="32" spans="1:18" x14ac:dyDescent="0.25">
      <c r="A32" s="50">
        <f>1+A31</f>
        <v>2</v>
      </c>
      <c r="B32" s="46" t="s">
        <v>166</v>
      </c>
      <c r="C32" s="46" t="s">
        <v>184</v>
      </c>
      <c r="D32" s="46"/>
      <c r="E32" s="46">
        <v>4031892</v>
      </c>
      <c r="F32" s="46">
        <v>0</v>
      </c>
      <c r="G32" s="46">
        <v>0</v>
      </c>
      <c r="H32" s="46">
        <f t="shared" si="3"/>
        <v>4031892</v>
      </c>
      <c r="I32" s="49">
        <f t="shared" si="0"/>
        <v>2.8512905840586056</v>
      </c>
      <c r="J32" s="46">
        <v>4031892</v>
      </c>
      <c r="K32" s="49">
        <f t="shared" si="1"/>
        <v>2.8512905840586056</v>
      </c>
      <c r="L32" s="46">
        <v>0</v>
      </c>
      <c r="M32" s="49">
        <f>SUM((H32+L32)/141405861*100)</f>
        <v>2.8512905840586056</v>
      </c>
      <c r="N32" s="46">
        <v>0</v>
      </c>
      <c r="O32" s="49">
        <v>0</v>
      </c>
      <c r="P32" s="46">
        <v>0</v>
      </c>
      <c r="Q32" s="49">
        <f t="shared" si="6"/>
        <v>0</v>
      </c>
      <c r="R32" s="46">
        <v>4031892</v>
      </c>
    </row>
    <row r="33" spans="1:18" x14ac:dyDescent="0.25">
      <c r="A33" s="50">
        <f t="shared" ref="A33:A48" si="8">1+A32</f>
        <v>3</v>
      </c>
      <c r="B33" s="46" t="s">
        <v>167</v>
      </c>
      <c r="C33" s="46" t="s">
        <v>185</v>
      </c>
      <c r="D33" s="46"/>
      <c r="E33" s="46">
        <f>1378168+350000+500000</f>
        <v>2228168</v>
      </c>
      <c r="F33" s="46">
        <v>0</v>
      </c>
      <c r="G33" s="46">
        <v>0</v>
      </c>
      <c r="H33" s="46">
        <f t="shared" si="3"/>
        <v>2228168</v>
      </c>
      <c r="I33" s="49">
        <f t="shared" si="0"/>
        <v>1.5757253512992646</v>
      </c>
      <c r="J33" s="46">
        <f>1728168+500000</f>
        <v>2228168</v>
      </c>
      <c r="K33" s="49">
        <f t="shared" si="1"/>
        <v>1.5757253512992646</v>
      </c>
      <c r="L33" s="46">
        <v>0</v>
      </c>
      <c r="M33" s="49">
        <f t="shared" si="7"/>
        <v>1.5757253512992646</v>
      </c>
      <c r="N33" s="46">
        <v>0</v>
      </c>
      <c r="O33" s="49">
        <v>0</v>
      </c>
      <c r="P33" s="46">
        <v>0</v>
      </c>
      <c r="Q33" s="49">
        <f t="shared" si="6"/>
        <v>0</v>
      </c>
      <c r="R33" s="46">
        <f>1728168+500000</f>
        <v>2228168</v>
      </c>
    </row>
    <row r="34" spans="1:18" x14ac:dyDescent="0.25">
      <c r="A34" s="50">
        <f t="shared" si="8"/>
        <v>4</v>
      </c>
      <c r="B34" s="46" t="s">
        <v>168</v>
      </c>
      <c r="C34" s="46" t="s">
        <v>186</v>
      </c>
      <c r="D34" s="46"/>
      <c r="E34" s="46">
        <v>8113564</v>
      </c>
      <c r="F34" s="46">
        <v>0</v>
      </c>
      <c r="G34" s="46">
        <v>0</v>
      </c>
      <c r="H34" s="46">
        <f t="shared" si="3"/>
        <v>8113564</v>
      </c>
      <c r="I34" s="49">
        <f t="shared" si="0"/>
        <v>5.737784800871867</v>
      </c>
      <c r="J34" s="46">
        <v>8113564</v>
      </c>
      <c r="K34" s="49">
        <f t="shared" si="1"/>
        <v>5.737784800871867</v>
      </c>
      <c r="L34" s="46">
        <v>0</v>
      </c>
      <c r="M34" s="49">
        <f t="shared" si="7"/>
        <v>5.737784800871867</v>
      </c>
      <c r="N34" s="46">
        <v>0</v>
      </c>
      <c r="O34" s="49">
        <v>0</v>
      </c>
      <c r="P34" s="46">
        <v>0</v>
      </c>
      <c r="Q34" s="49">
        <f t="shared" si="6"/>
        <v>0</v>
      </c>
      <c r="R34" s="46">
        <v>8113564</v>
      </c>
    </row>
    <row r="35" spans="1:18" x14ac:dyDescent="0.25">
      <c r="A35" s="50">
        <f t="shared" si="8"/>
        <v>5</v>
      </c>
      <c r="B35" s="46" t="s">
        <v>169</v>
      </c>
      <c r="C35" s="46" t="s">
        <v>187</v>
      </c>
      <c r="D35" s="46"/>
      <c r="E35" s="46">
        <f>2500160+400000</f>
        <v>2900160</v>
      </c>
      <c r="F35" s="46">
        <v>0</v>
      </c>
      <c r="G35" s="46">
        <v>0</v>
      </c>
      <c r="H35" s="46">
        <f t="shared" si="3"/>
        <v>2900160</v>
      </c>
      <c r="I35" s="49">
        <f t="shared" si="0"/>
        <v>2.0509475204850243</v>
      </c>
      <c r="J35" s="46">
        <f>2500160+400000</f>
        <v>2900160</v>
      </c>
      <c r="K35" s="49">
        <f t="shared" si="1"/>
        <v>2.0509475204850243</v>
      </c>
      <c r="L35" s="46">
        <v>0</v>
      </c>
      <c r="M35" s="49">
        <f t="shared" si="7"/>
        <v>2.0509475204850243</v>
      </c>
      <c r="N35" s="46">
        <v>0</v>
      </c>
      <c r="O35" s="49">
        <v>0</v>
      </c>
      <c r="P35" s="46">
        <v>0</v>
      </c>
      <c r="Q35" s="49">
        <f t="shared" si="6"/>
        <v>0</v>
      </c>
      <c r="R35" s="46">
        <f>2500160+400000</f>
        <v>2900160</v>
      </c>
    </row>
    <row r="36" spans="1:18" x14ac:dyDescent="0.25">
      <c r="A36" s="50">
        <f t="shared" si="8"/>
        <v>6</v>
      </c>
      <c r="B36" s="46" t="s">
        <v>170</v>
      </c>
      <c r="C36" s="46" t="s">
        <v>188</v>
      </c>
      <c r="D36" s="46"/>
      <c r="E36" s="34">
        <f>16803577+200000</f>
        <v>17003577</v>
      </c>
      <c r="F36" s="46">
        <v>0</v>
      </c>
      <c r="G36" s="46">
        <v>0</v>
      </c>
      <c r="H36" s="46">
        <f t="shared" si="3"/>
        <v>17003577</v>
      </c>
      <c r="I36" s="49">
        <f>SUM(H36/141405861*100)</f>
        <v>12.024662117788738</v>
      </c>
      <c r="J36" s="46">
        <v>17003577</v>
      </c>
      <c r="K36" s="49">
        <f t="shared" si="1"/>
        <v>12.024662117788738</v>
      </c>
      <c r="L36" s="46">
        <v>0</v>
      </c>
      <c r="M36" s="49">
        <f t="shared" si="7"/>
        <v>12.024662117788738</v>
      </c>
      <c r="N36" s="46">
        <v>0</v>
      </c>
      <c r="O36" s="49">
        <v>0</v>
      </c>
      <c r="P36" s="46">
        <v>0</v>
      </c>
      <c r="Q36" s="49">
        <f t="shared" si="6"/>
        <v>0</v>
      </c>
      <c r="R36" s="46">
        <v>17003577</v>
      </c>
    </row>
    <row r="37" spans="1:18" x14ac:dyDescent="0.25">
      <c r="A37" s="50">
        <f t="shared" si="8"/>
        <v>7</v>
      </c>
      <c r="B37" s="46" t="s">
        <v>171</v>
      </c>
      <c r="C37" s="46" t="s">
        <v>189</v>
      </c>
      <c r="D37" s="46"/>
      <c r="E37" s="46">
        <f>28334773-90000</f>
        <v>28244773</v>
      </c>
      <c r="F37" s="46">
        <v>0</v>
      </c>
      <c r="G37" s="46">
        <v>0</v>
      </c>
      <c r="H37" s="46">
        <f t="shared" si="3"/>
        <v>28244773</v>
      </c>
      <c r="I37" s="49">
        <f t="shared" si="0"/>
        <v>19.97425905847</v>
      </c>
      <c r="J37" s="46">
        <v>28244773</v>
      </c>
      <c r="K37" s="49">
        <f t="shared" si="1"/>
        <v>19.97425905847</v>
      </c>
      <c r="L37" s="46">
        <v>0</v>
      </c>
      <c r="M37" s="49">
        <f t="shared" si="7"/>
        <v>19.97425905847</v>
      </c>
      <c r="N37" s="46">
        <v>0</v>
      </c>
      <c r="O37" s="49">
        <v>0</v>
      </c>
      <c r="P37" s="46">
        <v>0</v>
      </c>
      <c r="Q37" s="49">
        <f t="shared" si="6"/>
        <v>0</v>
      </c>
      <c r="R37" s="46">
        <v>28244773</v>
      </c>
    </row>
    <row r="38" spans="1:18" x14ac:dyDescent="0.25">
      <c r="A38" s="50">
        <f t="shared" si="8"/>
        <v>8</v>
      </c>
      <c r="B38" s="46" t="s">
        <v>172</v>
      </c>
      <c r="C38" s="46" t="s">
        <v>190</v>
      </c>
      <c r="D38" s="46"/>
      <c r="E38" s="46">
        <v>4785369</v>
      </c>
      <c r="F38" s="46">
        <v>0</v>
      </c>
      <c r="G38" s="46">
        <v>0</v>
      </c>
      <c r="H38" s="46">
        <f t="shared" si="3"/>
        <v>4785369</v>
      </c>
      <c r="I38" s="49">
        <f t="shared" si="0"/>
        <v>3.3841376631482061</v>
      </c>
      <c r="J38" s="46">
        <v>4785369</v>
      </c>
      <c r="K38" s="49">
        <f t="shared" si="1"/>
        <v>3.3841376631482061</v>
      </c>
      <c r="L38" s="46">
        <v>0</v>
      </c>
      <c r="M38" s="49">
        <f t="shared" si="7"/>
        <v>3.3841376631482061</v>
      </c>
      <c r="N38" s="46">
        <v>0</v>
      </c>
      <c r="O38" s="49">
        <v>0</v>
      </c>
      <c r="P38" s="46">
        <v>0</v>
      </c>
      <c r="Q38" s="49">
        <f>+(P38/E38)*100</f>
        <v>0</v>
      </c>
      <c r="R38" s="46">
        <v>4785369</v>
      </c>
    </row>
    <row r="39" spans="1:18" x14ac:dyDescent="0.25">
      <c r="A39" s="50">
        <f t="shared" si="8"/>
        <v>9</v>
      </c>
      <c r="B39" s="46" t="s">
        <v>173</v>
      </c>
      <c r="C39" s="46" t="s">
        <v>191</v>
      </c>
      <c r="D39" s="46"/>
      <c r="E39" s="46">
        <v>0</v>
      </c>
      <c r="F39" s="46">
        <v>0</v>
      </c>
      <c r="G39" s="46">
        <v>0</v>
      </c>
      <c r="H39" s="46">
        <f t="shared" si="3"/>
        <v>0</v>
      </c>
      <c r="I39" s="49">
        <f t="shared" si="0"/>
        <v>0</v>
      </c>
      <c r="J39" s="46">
        <v>0</v>
      </c>
      <c r="K39" s="49">
        <v>0</v>
      </c>
      <c r="L39" s="46">
        <v>0</v>
      </c>
      <c r="M39" s="49">
        <f t="shared" si="7"/>
        <v>0</v>
      </c>
      <c r="N39" s="46">
        <v>0</v>
      </c>
      <c r="O39" s="49">
        <v>0</v>
      </c>
      <c r="P39" s="46">
        <v>0</v>
      </c>
      <c r="Q39" s="49">
        <v>0</v>
      </c>
      <c r="R39" s="46">
        <v>0</v>
      </c>
    </row>
    <row r="40" spans="1:18" x14ac:dyDescent="0.25">
      <c r="A40" s="50">
        <f t="shared" si="8"/>
        <v>10</v>
      </c>
      <c r="B40" s="46" t="s">
        <v>174</v>
      </c>
      <c r="C40" s="46" t="s">
        <v>192</v>
      </c>
      <c r="D40" s="46"/>
      <c r="E40" s="46">
        <v>8000</v>
      </c>
      <c r="F40" s="46">
        <v>0</v>
      </c>
      <c r="G40" s="46">
        <v>0</v>
      </c>
      <c r="H40" s="46">
        <f t="shared" si="3"/>
        <v>8000</v>
      </c>
      <c r="I40" s="49">
        <f t="shared" si="0"/>
        <v>5.6574741269034105E-3</v>
      </c>
      <c r="J40" s="46">
        <v>8000</v>
      </c>
      <c r="K40" s="49">
        <f t="shared" si="1"/>
        <v>5.6574741269034105E-3</v>
      </c>
      <c r="L40" s="46">
        <v>0</v>
      </c>
      <c r="M40" s="49">
        <f t="shared" si="7"/>
        <v>5.6574741269034105E-3</v>
      </c>
      <c r="N40" s="46">
        <v>0</v>
      </c>
      <c r="O40" s="49">
        <v>0</v>
      </c>
      <c r="P40" s="46">
        <v>0</v>
      </c>
      <c r="Q40" s="49">
        <f t="shared" si="6"/>
        <v>0</v>
      </c>
      <c r="R40" s="46">
        <v>8000</v>
      </c>
    </row>
    <row r="41" spans="1:18" x14ac:dyDescent="0.25">
      <c r="A41" s="48">
        <f t="shared" si="8"/>
        <v>11</v>
      </c>
      <c r="B41" s="51" t="s">
        <v>175</v>
      </c>
      <c r="C41" s="46" t="s">
        <v>193</v>
      </c>
      <c r="D41" s="46"/>
      <c r="E41" s="46">
        <v>7000</v>
      </c>
      <c r="F41" s="46">
        <v>0</v>
      </c>
      <c r="G41" s="46">
        <v>0</v>
      </c>
      <c r="H41" s="46">
        <f t="shared" si="3"/>
        <v>7000</v>
      </c>
      <c r="I41" s="49">
        <f t="shared" si="0"/>
        <v>4.9502898610404838E-3</v>
      </c>
      <c r="J41" s="46">
        <v>7000</v>
      </c>
      <c r="K41" s="49">
        <f t="shared" si="1"/>
        <v>4.9502898610404838E-3</v>
      </c>
      <c r="L41" s="46">
        <v>0</v>
      </c>
      <c r="M41" s="49">
        <f t="shared" si="7"/>
        <v>4.9502898610404838E-3</v>
      </c>
      <c r="N41" s="46">
        <v>0</v>
      </c>
      <c r="O41" s="49">
        <v>0</v>
      </c>
      <c r="P41" s="46">
        <v>0</v>
      </c>
      <c r="Q41" s="49">
        <f t="shared" si="6"/>
        <v>0</v>
      </c>
      <c r="R41" s="46">
        <v>7000</v>
      </c>
    </row>
    <row r="42" spans="1:18" x14ac:dyDescent="0.25">
      <c r="A42" s="50">
        <f t="shared" si="8"/>
        <v>12</v>
      </c>
      <c r="B42" s="46" t="s">
        <v>176</v>
      </c>
      <c r="C42" s="46" t="s">
        <v>194</v>
      </c>
      <c r="D42" s="46"/>
      <c r="E42" s="46">
        <v>7000</v>
      </c>
      <c r="F42" s="46">
        <v>0</v>
      </c>
      <c r="G42" s="46">
        <v>0</v>
      </c>
      <c r="H42" s="46">
        <f t="shared" si="3"/>
        <v>7000</v>
      </c>
      <c r="I42" s="49">
        <f t="shared" si="0"/>
        <v>4.9502898610404838E-3</v>
      </c>
      <c r="J42" s="46">
        <v>7000</v>
      </c>
      <c r="K42" s="49">
        <f t="shared" si="1"/>
        <v>4.9502898610404838E-3</v>
      </c>
      <c r="L42" s="46">
        <v>0</v>
      </c>
      <c r="M42" s="49">
        <f t="shared" si="7"/>
        <v>4.9502898610404838E-3</v>
      </c>
      <c r="N42" s="46">
        <v>0</v>
      </c>
      <c r="O42" s="49">
        <v>0</v>
      </c>
      <c r="P42" s="46">
        <v>0</v>
      </c>
      <c r="Q42" s="49">
        <f t="shared" si="6"/>
        <v>0</v>
      </c>
      <c r="R42" s="46">
        <v>7000</v>
      </c>
    </row>
    <row r="43" spans="1:18" x14ac:dyDescent="0.25">
      <c r="A43" s="50">
        <f t="shared" si="8"/>
        <v>13</v>
      </c>
      <c r="B43" s="46" t="s">
        <v>177</v>
      </c>
      <c r="C43" s="46" t="s">
        <v>195</v>
      </c>
      <c r="D43" s="46"/>
      <c r="E43" s="46">
        <v>7000</v>
      </c>
      <c r="F43" s="46">
        <v>0</v>
      </c>
      <c r="G43" s="46">
        <v>0</v>
      </c>
      <c r="H43" s="46">
        <f t="shared" si="3"/>
        <v>7000</v>
      </c>
      <c r="I43" s="49">
        <f t="shared" si="0"/>
        <v>4.9502898610404838E-3</v>
      </c>
      <c r="J43" s="46">
        <v>7000</v>
      </c>
      <c r="K43" s="49">
        <f t="shared" si="1"/>
        <v>4.9502898610404838E-3</v>
      </c>
      <c r="L43" s="46">
        <v>0</v>
      </c>
      <c r="M43" s="49">
        <f t="shared" si="7"/>
        <v>4.9502898610404838E-3</v>
      </c>
      <c r="N43" s="46">
        <v>0</v>
      </c>
      <c r="O43" s="49">
        <v>0</v>
      </c>
      <c r="P43" s="46">
        <v>0</v>
      </c>
      <c r="Q43" s="49">
        <f t="shared" si="6"/>
        <v>0</v>
      </c>
      <c r="R43" s="46">
        <v>7000</v>
      </c>
    </row>
    <row r="44" spans="1:18" x14ac:dyDescent="0.25">
      <c r="A44" s="50">
        <f t="shared" si="8"/>
        <v>14</v>
      </c>
      <c r="B44" s="46" t="s">
        <v>178</v>
      </c>
      <c r="C44" s="46" t="s">
        <v>196</v>
      </c>
      <c r="D44" s="46"/>
      <c r="E44" s="46">
        <v>7000</v>
      </c>
      <c r="F44" s="46">
        <v>0</v>
      </c>
      <c r="G44" s="46">
        <v>0</v>
      </c>
      <c r="H44" s="46">
        <f t="shared" si="3"/>
        <v>7000</v>
      </c>
      <c r="I44" s="49">
        <f t="shared" si="0"/>
        <v>4.9502898610404838E-3</v>
      </c>
      <c r="J44" s="46">
        <v>7000</v>
      </c>
      <c r="K44" s="49">
        <f t="shared" si="1"/>
        <v>4.9502898610404838E-3</v>
      </c>
      <c r="L44" s="46">
        <v>0</v>
      </c>
      <c r="M44" s="49">
        <f t="shared" si="7"/>
        <v>4.9502898610404838E-3</v>
      </c>
      <c r="N44" s="46">
        <v>0</v>
      </c>
      <c r="O44" s="49">
        <v>0</v>
      </c>
      <c r="P44" s="46">
        <v>0</v>
      </c>
      <c r="Q44" s="49">
        <f t="shared" si="6"/>
        <v>0</v>
      </c>
      <c r="R44" s="46">
        <v>7000</v>
      </c>
    </row>
    <row r="45" spans="1:18" x14ac:dyDescent="0.25">
      <c r="A45" s="50">
        <f t="shared" si="8"/>
        <v>15</v>
      </c>
      <c r="B45" s="46" t="s">
        <v>179</v>
      </c>
      <c r="C45" s="46" t="s">
        <v>197</v>
      </c>
      <c r="D45" s="46"/>
      <c r="E45" s="46">
        <v>3494</v>
      </c>
      <c r="F45" s="46">
        <v>0</v>
      </c>
      <c r="G45" s="46">
        <v>0</v>
      </c>
      <c r="H45" s="46">
        <f t="shared" si="3"/>
        <v>3494</v>
      </c>
      <c r="I45" s="49">
        <f t="shared" si="0"/>
        <v>2.4709018249250646E-3</v>
      </c>
      <c r="J45" s="46">
        <v>3494</v>
      </c>
      <c r="K45" s="49">
        <f t="shared" si="1"/>
        <v>2.4709018249250646E-3</v>
      </c>
      <c r="L45" s="46">
        <v>0</v>
      </c>
      <c r="M45" s="49">
        <f t="shared" si="7"/>
        <v>2.4709018249250646E-3</v>
      </c>
      <c r="N45" s="46">
        <v>0</v>
      </c>
      <c r="O45" s="49">
        <v>0</v>
      </c>
      <c r="P45" s="46">
        <v>0</v>
      </c>
      <c r="Q45" s="49">
        <f t="shared" si="6"/>
        <v>0</v>
      </c>
      <c r="R45" s="46">
        <v>3494</v>
      </c>
    </row>
    <row r="46" spans="1:18" x14ac:dyDescent="0.25">
      <c r="A46" s="50">
        <f t="shared" si="8"/>
        <v>16</v>
      </c>
      <c r="B46" s="46" t="s">
        <v>180</v>
      </c>
      <c r="C46" s="46" t="s">
        <v>198</v>
      </c>
      <c r="D46" s="46"/>
      <c r="E46" s="46">
        <v>7000</v>
      </c>
      <c r="F46" s="46">
        <v>0</v>
      </c>
      <c r="G46" s="46">
        <v>0</v>
      </c>
      <c r="H46" s="46">
        <f t="shared" si="3"/>
        <v>7000</v>
      </c>
      <c r="I46" s="49">
        <f t="shared" si="0"/>
        <v>4.9502898610404838E-3</v>
      </c>
      <c r="J46" s="46">
        <v>7000</v>
      </c>
      <c r="K46" s="49">
        <f t="shared" si="1"/>
        <v>4.9502898610404838E-3</v>
      </c>
      <c r="L46" s="46">
        <v>0</v>
      </c>
      <c r="M46" s="49">
        <f t="shared" si="7"/>
        <v>4.9502898610404838E-3</v>
      </c>
      <c r="N46" s="46">
        <v>0</v>
      </c>
      <c r="O46" s="49">
        <v>0</v>
      </c>
      <c r="P46" s="46">
        <v>0</v>
      </c>
      <c r="Q46" s="49">
        <f t="shared" si="6"/>
        <v>0</v>
      </c>
      <c r="R46" s="46">
        <v>7000</v>
      </c>
    </row>
    <row r="47" spans="1:18" x14ac:dyDescent="0.25">
      <c r="A47" s="50">
        <f t="shared" si="8"/>
        <v>17</v>
      </c>
      <c r="B47" s="46" t="s">
        <v>181</v>
      </c>
      <c r="C47" s="46" t="s">
        <v>199</v>
      </c>
      <c r="D47" s="46"/>
      <c r="E47" s="46">
        <v>160000</v>
      </c>
      <c r="F47" s="46">
        <v>0</v>
      </c>
      <c r="G47" s="46">
        <v>0</v>
      </c>
      <c r="H47" s="46">
        <f t="shared" si="3"/>
        <v>160000</v>
      </c>
      <c r="I47" s="49">
        <f t="shared" si="0"/>
        <v>0.1131494825380682</v>
      </c>
      <c r="J47" s="46">
        <v>160000</v>
      </c>
      <c r="K47" s="49">
        <f t="shared" si="1"/>
        <v>0.1131494825380682</v>
      </c>
      <c r="L47" s="46">
        <v>0</v>
      </c>
      <c r="M47" s="49">
        <f t="shared" si="7"/>
        <v>0.1131494825380682</v>
      </c>
      <c r="N47" s="46">
        <v>0</v>
      </c>
      <c r="O47" s="49">
        <v>0</v>
      </c>
      <c r="P47" s="46">
        <v>0</v>
      </c>
      <c r="Q47" s="49">
        <f t="shared" si="6"/>
        <v>0</v>
      </c>
      <c r="R47" s="46">
        <v>160000</v>
      </c>
    </row>
    <row r="48" spans="1:18" x14ac:dyDescent="0.25">
      <c r="A48" s="50">
        <f t="shared" si="8"/>
        <v>18</v>
      </c>
      <c r="B48" s="46" t="s">
        <v>182</v>
      </c>
      <c r="C48" s="46" t="s">
        <v>200</v>
      </c>
      <c r="D48" s="46"/>
      <c r="E48" s="46">
        <v>260</v>
      </c>
      <c r="F48" s="46">
        <v>0</v>
      </c>
      <c r="G48" s="46">
        <v>0</v>
      </c>
      <c r="H48" s="46">
        <f t="shared" si="3"/>
        <v>260</v>
      </c>
      <c r="I48" s="49">
        <f t="shared" si="0"/>
        <v>1.8386790912436083E-4</v>
      </c>
      <c r="J48" s="46">
        <v>260</v>
      </c>
      <c r="K48" s="49">
        <f t="shared" si="1"/>
        <v>1.8386790912436083E-4</v>
      </c>
      <c r="L48" s="46">
        <v>0</v>
      </c>
      <c r="M48" s="49">
        <f t="shared" si="7"/>
        <v>1.8386790912436083E-4</v>
      </c>
      <c r="N48" s="46">
        <v>0</v>
      </c>
      <c r="O48" s="49">
        <v>0</v>
      </c>
      <c r="P48" s="46">
        <v>0</v>
      </c>
      <c r="Q48" s="49">
        <f t="shared" si="6"/>
        <v>0</v>
      </c>
      <c r="R48" s="46">
        <v>260</v>
      </c>
    </row>
    <row r="49" spans="1:18" x14ac:dyDescent="0.25">
      <c r="A49" s="50">
        <v>19</v>
      </c>
      <c r="B49" s="34" t="s">
        <v>229</v>
      </c>
      <c r="C49" s="46" t="s">
        <v>222</v>
      </c>
      <c r="D49" s="46"/>
      <c r="E49" s="46">
        <v>896310</v>
      </c>
      <c r="F49" s="46">
        <v>0</v>
      </c>
      <c r="G49" s="46">
        <v>0</v>
      </c>
      <c r="H49" s="46">
        <f t="shared" ref="H49" si="9">+E49+F49+G49</f>
        <v>896310</v>
      </c>
      <c r="I49" s="49">
        <f t="shared" ref="I49" si="10">SUM(H49/141405861*100)</f>
        <v>0.63385632933559954</v>
      </c>
      <c r="J49" s="46">
        <v>896310</v>
      </c>
      <c r="K49" s="49">
        <f t="shared" ref="K49" si="11">+(J49/141405861*100)</f>
        <v>0.63385632933559954</v>
      </c>
      <c r="L49" s="46">
        <v>0</v>
      </c>
      <c r="M49" s="49">
        <f t="shared" ref="M49" si="12">SUM((H49+L49)/141405861*100)</f>
        <v>0.63385632933559954</v>
      </c>
      <c r="N49" s="46">
        <v>0</v>
      </c>
      <c r="O49" s="49">
        <v>0</v>
      </c>
      <c r="P49" s="46">
        <v>750000</v>
      </c>
      <c r="Q49" s="49">
        <f>+(P49/E49)*100</f>
        <v>83.676406600394955</v>
      </c>
      <c r="R49" s="46">
        <v>896310</v>
      </c>
    </row>
    <row r="50" spans="1:18" x14ac:dyDescent="0.25">
      <c r="A50" s="50">
        <v>20</v>
      </c>
      <c r="B50" s="46" t="s">
        <v>224</v>
      </c>
      <c r="C50" s="46" t="s">
        <v>226</v>
      </c>
      <c r="D50" s="46"/>
      <c r="E50" s="46">
        <v>100</v>
      </c>
      <c r="F50" s="46">
        <v>0</v>
      </c>
      <c r="G50" s="46">
        <v>0</v>
      </c>
      <c r="H50" s="46">
        <f t="shared" ref="H50" si="13">+E50+F50+G50</f>
        <v>100</v>
      </c>
      <c r="I50" s="49">
        <f t="shared" ref="I50" si="14">SUM(H50/141405861*100)</f>
        <v>7.0718426586292626E-5</v>
      </c>
      <c r="J50" s="46">
        <v>100</v>
      </c>
      <c r="K50" s="49">
        <f t="shared" ref="K50" si="15">+(J50/141405861*100)</f>
        <v>7.0718426586292626E-5</v>
      </c>
      <c r="L50" s="46">
        <v>0</v>
      </c>
      <c r="M50" s="49">
        <f t="shared" ref="M50" si="16">SUM((H50+L50)/141405861*100)</f>
        <v>7.0718426586292626E-5</v>
      </c>
      <c r="N50" s="46">
        <v>0</v>
      </c>
      <c r="O50" s="49">
        <v>0</v>
      </c>
      <c r="P50" s="46">
        <v>0</v>
      </c>
      <c r="Q50" s="49">
        <f t="shared" ref="Q50" si="17">+(P50/141405861)*100</f>
        <v>0</v>
      </c>
      <c r="R50" s="46">
        <v>100</v>
      </c>
    </row>
    <row r="51" spans="1:18" x14ac:dyDescent="0.25">
      <c r="A51" s="48" t="s">
        <v>58</v>
      </c>
      <c r="B51" s="46" t="s">
        <v>203</v>
      </c>
      <c r="C51" s="46"/>
      <c r="D51" s="46"/>
      <c r="E51" s="46"/>
      <c r="F51" s="46"/>
      <c r="G51" s="46"/>
      <c r="H51" s="46"/>
      <c r="I51" s="49"/>
      <c r="J51" s="46"/>
      <c r="K51" s="49"/>
      <c r="L51" s="46"/>
      <c r="M51" s="49"/>
      <c r="N51" s="46"/>
      <c r="O51" s="49"/>
      <c r="P51" s="46"/>
      <c r="Q51" s="49">
        <f t="shared" si="6"/>
        <v>0</v>
      </c>
      <c r="R51" s="46"/>
    </row>
    <row r="52" spans="1:18" x14ac:dyDescent="0.25">
      <c r="A52" s="48">
        <v>1</v>
      </c>
      <c r="B52" s="46" t="s">
        <v>208</v>
      </c>
      <c r="C52" s="46" t="s">
        <v>205</v>
      </c>
      <c r="D52" s="46"/>
      <c r="E52" s="46">
        <v>27200</v>
      </c>
      <c r="F52" s="46">
        <v>0</v>
      </c>
      <c r="G52" s="46">
        <v>0</v>
      </c>
      <c r="H52" s="46">
        <f t="shared" ref="H52" si="18">+E52+F52+G52</f>
        <v>27200</v>
      </c>
      <c r="I52" s="49">
        <f t="shared" ref="I52" si="19">SUM(H52/141405861*100)</f>
        <v>1.9235412031471597E-2</v>
      </c>
      <c r="J52" s="46">
        <v>27200</v>
      </c>
      <c r="K52" s="49">
        <f t="shared" si="1"/>
        <v>1.9235412031471597E-2</v>
      </c>
      <c r="L52" s="46">
        <v>0</v>
      </c>
      <c r="M52" s="49">
        <f t="shared" ref="M52" si="20">SUM((H52+L52)/141405861*100)</f>
        <v>1.9235412031471597E-2</v>
      </c>
      <c r="N52" s="46">
        <v>0</v>
      </c>
      <c r="O52" s="49">
        <v>0</v>
      </c>
      <c r="P52" s="46">
        <v>0</v>
      </c>
      <c r="Q52" s="49">
        <f t="shared" si="6"/>
        <v>0</v>
      </c>
      <c r="R52" s="46">
        <v>27200</v>
      </c>
    </row>
    <row r="53" spans="1:18" ht="30" x14ac:dyDescent="0.25">
      <c r="A53" s="50">
        <v>2</v>
      </c>
      <c r="B53" s="51" t="s">
        <v>221</v>
      </c>
      <c r="C53" s="46" t="s">
        <v>204</v>
      </c>
      <c r="D53" s="46"/>
      <c r="E53" s="46">
        <f>3641636+1165</f>
        <v>3642801</v>
      </c>
      <c r="F53" s="46">
        <v>0</v>
      </c>
      <c r="G53" s="46">
        <v>0</v>
      </c>
      <c r="H53" s="46">
        <f>+E53+F53+G53</f>
        <v>3642801</v>
      </c>
      <c r="I53" s="49">
        <f t="shared" ref="I53:I54" si="21">SUM(H53/141405861*100)</f>
        <v>2.5761315508697336</v>
      </c>
      <c r="J53" s="46">
        <v>3642801</v>
      </c>
      <c r="K53" s="49">
        <f t="shared" si="1"/>
        <v>2.5761315508697336</v>
      </c>
      <c r="L53" s="46">
        <v>0</v>
      </c>
      <c r="M53" s="49">
        <f t="shared" ref="M53:M54" si="22">SUM((H53+L53)/141405861*100)</f>
        <v>2.5761315508697336</v>
      </c>
      <c r="N53" s="46">
        <v>0</v>
      </c>
      <c r="O53" s="49">
        <v>0</v>
      </c>
      <c r="P53" s="46">
        <v>0</v>
      </c>
      <c r="Q53" s="49">
        <f t="shared" si="6"/>
        <v>0</v>
      </c>
      <c r="R53" s="46">
        <v>3642801</v>
      </c>
    </row>
    <row r="54" spans="1:18" x14ac:dyDescent="0.25">
      <c r="A54" s="48">
        <v>3</v>
      </c>
      <c r="B54" s="46" t="s">
        <v>225</v>
      </c>
      <c r="C54" s="46" t="s">
        <v>227</v>
      </c>
      <c r="D54" s="46"/>
      <c r="E54" s="46">
        <v>100</v>
      </c>
      <c r="F54" s="46">
        <v>0</v>
      </c>
      <c r="G54" s="46">
        <v>0</v>
      </c>
      <c r="H54" s="46">
        <f t="shared" ref="H54" si="23">+E54+F54+G54</f>
        <v>100</v>
      </c>
      <c r="I54" s="49">
        <f t="shared" si="21"/>
        <v>7.0718426586292626E-5</v>
      </c>
      <c r="J54" s="46">
        <v>100</v>
      </c>
      <c r="K54" s="49">
        <f t="shared" ref="K54" si="24">+(J54/141405861*100)</f>
        <v>7.0718426586292626E-5</v>
      </c>
      <c r="L54" s="46">
        <v>0</v>
      </c>
      <c r="M54" s="49">
        <f t="shared" si="22"/>
        <v>7.0718426586292626E-5</v>
      </c>
      <c r="N54" s="46">
        <v>0</v>
      </c>
      <c r="O54" s="49">
        <v>0</v>
      </c>
      <c r="P54" s="46">
        <v>0</v>
      </c>
      <c r="Q54" s="49">
        <f t="shared" ref="Q54" si="25">+(P54/141405861)*100</f>
        <v>0</v>
      </c>
      <c r="R54" s="46">
        <v>100</v>
      </c>
    </row>
    <row r="55" spans="1:18" s="39" customFormat="1" x14ac:dyDescent="0.25">
      <c r="A55" s="40"/>
      <c r="B55" s="40" t="s">
        <v>83</v>
      </c>
      <c r="C55" s="40"/>
      <c r="D55" s="40">
        <v>41</v>
      </c>
      <c r="E55" s="40">
        <f>SUM(E9:E54)</f>
        <v>105132468</v>
      </c>
      <c r="F55" s="40">
        <f>+F8+F27+F28+F29</f>
        <v>0</v>
      </c>
      <c r="G55" s="40">
        <f>+G8+G27+G28+G29</f>
        <v>0</v>
      </c>
      <c r="H55" s="40">
        <f>SUM(H9:H54)</f>
        <v>105132468</v>
      </c>
      <c r="I55" s="52">
        <f>+(H55/141405861)*100</f>
        <v>74.348027200937594</v>
      </c>
      <c r="J55" s="40">
        <f>SUM(J9:J54)</f>
        <v>105132468</v>
      </c>
      <c r="K55" s="52">
        <f>+(J55/141405861)*100</f>
        <v>74.348027200937594</v>
      </c>
      <c r="L55" s="40">
        <f>+L8+L27+L28+L29</f>
        <v>0</v>
      </c>
      <c r="M55" s="52">
        <f>(J55/141405861)*100</f>
        <v>74.348027200937594</v>
      </c>
      <c r="N55" s="40">
        <f>+N8+N27+N28+N29</f>
        <v>0</v>
      </c>
      <c r="O55" s="52">
        <f>+O8+O27+O28+O29</f>
        <v>0</v>
      </c>
      <c r="P55" s="40">
        <f>SUM(P9:P54)</f>
        <v>14540431</v>
      </c>
      <c r="Q55" s="52">
        <f>+(P55/E55)*100</f>
        <v>13.830580862992772</v>
      </c>
      <c r="R55" s="40">
        <f>SUM(R9:R54)</f>
        <v>105132468</v>
      </c>
    </row>
    <row r="56" spans="1:18" x14ac:dyDescent="0.25">
      <c r="A56" s="45" t="s">
        <v>84</v>
      </c>
      <c r="B56" s="46" t="s">
        <v>85</v>
      </c>
      <c r="C56" s="46"/>
      <c r="D56" s="46"/>
      <c r="E56" s="46"/>
      <c r="F56" s="46"/>
      <c r="G56" s="46"/>
      <c r="H56" s="46"/>
      <c r="I56" s="46"/>
      <c r="J56" s="46"/>
      <c r="K56" s="46"/>
      <c r="L56" s="46"/>
      <c r="M56" s="46"/>
      <c r="N56" s="46"/>
      <c r="O56" s="46"/>
      <c r="P56" s="46"/>
      <c r="Q56" s="46"/>
      <c r="R56" s="46"/>
    </row>
    <row r="57" spans="1:18" ht="30" x14ac:dyDescent="0.25">
      <c r="A57" s="48" t="s">
        <v>75</v>
      </c>
      <c r="B57" s="51" t="s">
        <v>86</v>
      </c>
      <c r="C57" s="46"/>
      <c r="D57" s="46">
        <v>0</v>
      </c>
      <c r="E57" s="46">
        <v>0</v>
      </c>
      <c r="F57" s="46">
        <v>0</v>
      </c>
      <c r="G57" s="46">
        <v>0</v>
      </c>
      <c r="H57" s="46">
        <v>0</v>
      </c>
      <c r="I57" s="49">
        <f>SUM(H57/141405861*100)</f>
        <v>0</v>
      </c>
      <c r="J57" s="46">
        <v>0</v>
      </c>
      <c r="K57" s="49">
        <f t="shared" ref="K57:K58" si="26">+(J57/141405861*100)</f>
        <v>0</v>
      </c>
      <c r="L57" s="46">
        <v>0</v>
      </c>
      <c r="M57" s="49">
        <f>SUM((H57+L57)/141405861*100)</f>
        <v>0</v>
      </c>
      <c r="N57" s="46">
        <v>0</v>
      </c>
      <c r="O57" s="49">
        <v>0</v>
      </c>
      <c r="P57" s="46">
        <v>0</v>
      </c>
      <c r="Q57" s="49">
        <f t="shared" ref="Q57:Q61" si="27">+(P57/141405861)*100</f>
        <v>0</v>
      </c>
      <c r="R57" s="46">
        <v>0</v>
      </c>
    </row>
    <row r="58" spans="1:18" x14ac:dyDescent="0.25">
      <c r="A58" s="48" t="s">
        <v>77</v>
      </c>
      <c r="B58" s="46" t="s">
        <v>87</v>
      </c>
      <c r="C58" s="46"/>
      <c r="D58" s="46">
        <v>0</v>
      </c>
      <c r="E58" s="46">
        <v>0</v>
      </c>
      <c r="F58" s="46">
        <v>0</v>
      </c>
      <c r="G58" s="46">
        <v>0</v>
      </c>
      <c r="H58" s="46">
        <v>0</v>
      </c>
      <c r="I58" s="49">
        <f>SUM(H58/141405861*100)</f>
        <v>0</v>
      </c>
      <c r="J58" s="46">
        <v>0</v>
      </c>
      <c r="K58" s="49">
        <f t="shared" si="26"/>
        <v>0</v>
      </c>
      <c r="L58" s="46">
        <v>0</v>
      </c>
      <c r="M58" s="49">
        <f>SUM((H58+L58)/141405861*100)</f>
        <v>0</v>
      </c>
      <c r="N58" s="46">
        <v>0</v>
      </c>
      <c r="O58" s="49">
        <v>0</v>
      </c>
      <c r="P58" s="46">
        <v>0</v>
      </c>
      <c r="Q58" s="49">
        <f t="shared" si="27"/>
        <v>0</v>
      </c>
      <c r="R58" s="46">
        <v>0</v>
      </c>
    </row>
    <row r="59" spans="1:18" x14ac:dyDescent="0.25">
      <c r="A59" s="48" t="s">
        <v>79</v>
      </c>
      <c r="B59" s="46" t="s">
        <v>88</v>
      </c>
      <c r="C59" s="46"/>
      <c r="D59" s="46">
        <v>0</v>
      </c>
      <c r="E59" s="46">
        <v>0</v>
      </c>
      <c r="F59" s="46">
        <v>0</v>
      </c>
      <c r="G59" s="46">
        <v>0</v>
      </c>
      <c r="H59" s="46">
        <v>0</v>
      </c>
      <c r="I59" s="49">
        <f>SUM(H59/141405861*100)</f>
        <v>0</v>
      </c>
      <c r="J59" s="46">
        <v>0</v>
      </c>
      <c r="K59" s="49">
        <f t="shared" ref="K59:K60" si="28">+(J59/141405861*100)</f>
        <v>0</v>
      </c>
      <c r="L59" s="46">
        <v>0</v>
      </c>
      <c r="M59" s="49">
        <f>SUM((H59+L59)/141405861*100)</f>
        <v>0</v>
      </c>
      <c r="N59" s="46">
        <v>0</v>
      </c>
      <c r="O59" s="49">
        <v>0</v>
      </c>
      <c r="P59" s="46">
        <v>0</v>
      </c>
      <c r="Q59" s="49">
        <f t="shared" si="27"/>
        <v>0</v>
      </c>
      <c r="R59" s="46">
        <v>0</v>
      </c>
    </row>
    <row r="60" spans="1:18" x14ac:dyDescent="0.25">
      <c r="A60" s="48" t="s">
        <v>81</v>
      </c>
      <c r="B60" s="46" t="s">
        <v>89</v>
      </c>
      <c r="C60" s="46"/>
      <c r="D60" s="46">
        <v>0</v>
      </c>
      <c r="E60" s="46">
        <v>0</v>
      </c>
      <c r="F60" s="46">
        <v>0</v>
      </c>
      <c r="G60" s="46">
        <v>0</v>
      </c>
      <c r="H60" s="46">
        <v>0</v>
      </c>
      <c r="I60" s="49">
        <f>SUM(H60/141405861*100)</f>
        <v>0</v>
      </c>
      <c r="J60" s="46">
        <v>0</v>
      </c>
      <c r="K60" s="49">
        <f t="shared" si="28"/>
        <v>0</v>
      </c>
      <c r="L60" s="46">
        <v>0</v>
      </c>
      <c r="M60" s="49">
        <f>SUM((H60+L60)/141405861*100)</f>
        <v>0</v>
      </c>
      <c r="N60" s="46">
        <v>0</v>
      </c>
      <c r="O60" s="49">
        <v>0</v>
      </c>
      <c r="P60" s="46">
        <v>0</v>
      </c>
      <c r="Q60" s="49">
        <f t="shared" si="27"/>
        <v>0</v>
      </c>
      <c r="R60" s="46">
        <v>0</v>
      </c>
    </row>
    <row r="61" spans="1:18" x14ac:dyDescent="0.25">
      <c r="A61" s="48" t="s">
        <v>90</v>
      </c>
      <c r="B61" s="46" t="s">
        <v>91</v>
      </c>
      <c r="C61" s="46"/>
      <c r="D61" s="46">
        <v>0</v>
      </c>
      <c r="E61" s="46">
        <v>0</v>
      </c>
      <c r="F61" s="46">
        <v>0</v>
      </c>
      <c r="G61" s="46">
        <v>0</v>
      </c>
      <c r="H61" s="46">
        <v>0</v>
      </c>
      <c r="I61" s="49">
        <f>SUM(H61/141405861*100)</f>
        <v>0</v>
      </c>
      <c r="J61" s="46">
        <v>0</v>
      </c>
      <c r="K61" s="49">
        <f t="shared" ref="K61" si="29">+(J61/141405861*100)</f>
        <v>0</v>
      </c>
      <c r="L61" s="46">
        <v>0</v>
      </c>
      <c r="M61" s="49">
        <f>SUM((H61+L61)/141405861*100)</f>
        <v>0</v>
      </c>
      <c r="N61" s="46">
        <v>0</v>
      </c>
      <c r="O61" s="49">
        <v>0</v>
      </c>
      <c r="P61" s="46">
        <v>0</v>
      </c>
      <c r="Q61" s="49">
        <f t="shared" si="27"/>
        <v>0</v>
      </c>
      <c r="R61" s="46">
        <v>0</v>
      </c>
    </row>
    <row r="62" spans="1:18" s="39" customFormat="1" x14ac:dyDescent="0.25">
      <c r="A62" s="40"/>
      <c r="B62" s="40" t="s">
        <v>92</v>
      </c>
      <c r="C62" s="40"/>
      <c r="D62" s="40">
        <f t="shared" ref="D62:R62" si="30">+D57+D58+D59+D60+D61</f>
        <v>0</v>
      </c>
      <c r="E62" s="40">
        <f t="shared" si="30"/>
        <v>0</v>
      </c>
      <c r="F62" s="40">
        <f t="shared" si="30"/>
        <v>0</v>
      </c>
      <c r="G62" s="40">
        <f t="shared" si="30"/>
        <v>0</v>
      </c>
      <c r="H62" s="40">
        <f t="shared" si="30"/>
        <v>0</v>
      </c>
      <c r="I62" s="52">
        <f t="shared" si="30"/>
        <v>0</v>
      </c>
      <c r="J62" s="40">
        <f t="shared" si="30"/>
        <v>0</v>
      </c>
      <c r="K62" s="52">
        <f t="shared" si="30"/>
        <v>0</v>
      </c>
      <c r="L62" s="40">
        <f t="shared" si="30"/>
        <v>0</v>
      </c>
      <c r="M62" s="52">
        <f t="shared" si="30"/>
        <v>0</v>
      </c>
      <c r="N62" s="40">
        <f t="shared" si="30"/>
        <v>0</v>
      </c>
      <c r="O62" s="52">
        <f t="shared" si="30"/>
        <v>0</v>
      </c>
      <c r="P62" s="40">
        <f t="shared" si="30"/>
        <v>0</v>
      </c>
      <c r="Q62" s="52">
        <f t="shared" si="30"/>
        <v>0</v>
      </c>
      <c r="R62" s="40">
        <f t="shared" si="30"/>
        <v>0</v>
      </c>
    </row>
    <row r="63" spans="1:18" s="39" customFormat="1" ht="30" x14ac:dyDescent="0.25">
      <c r="A63" s="40"/>
      <c r="B63" s="42" t="s">
        <v>93</v>
      </c>
      <c r="C63" s="40"/>
      <c r="D63" s="40">
        <f>+(D55+D62)</f>
        <v>41</v>
      </c>
      <c r="E63" s="40">
        <f t="shared" ref="E63:O63" si="31">+(E55+E62)</f>
        <v>105132468</v>
      </c>
      <c r="F63" s="40">
        <f t="shared" si="31"/>
        <v>0</v>
      </c>
      <c r="G63" s="40">
        <f t="shared" si="31"/>
        <v>0</v>
      </c>
      <c r="H63" s="40">
        <f t="shared" si="31"/>
        <v>105132468</v>
      </c>
      <c r="I63" s="52">
        <f>+(I55+I62)</f>
        <v>74.348027200937594</v>
      </c>
      <c r="J63" s="40">
        <f t="shared" si="31"/>
        <v>105132468</v>
      </c>
      <c r="K63" s="52">
        <f t="shared" si="31"/>
        <v>74.348027200937594</v>
      </c>
      <c r="L63" s="40">
        <f t="shared" si="31"/>
        <v>0</v>
      </c>
      <c r="M63" s="52">
        <f t="shared" si="31"/>
        <v>74.348027200937594</v>
      </c>
      <c r="N63" s="40">
        <f t="shared" si="31"/>
        <v>0</v>
      </c>
      <c r="O63" s="52">
        <f t="shared" si="31"/>
        <v>0</v>
      </c>
      <c r="P63" s="40">
        <f>P55+P62</f>
        <v>14540431</v>
      </c>
      <c r="Q63" s="52">
        <f>+(P63/E63)*100</f>
        <v>13.830580862992772</v>
      </c>
      <c r="R63" s="40">
        <f>+(R55+R62)</f>
        <v>105132468</v>
      </c>
    </row>
    <row r="64" spans="1:18" ht="7.5" customHeight="1" x14ac:dyDescent="0.25"/>
    <row r="65" spans="1:18" x14ac:dyDescent="0.25">
      <c r="A65" s="53" t="s">
        <v>201</v>
      </c>
      <c r="B65" s="54"/>
      <c r="C65" s="54"/>
      <c r="D65" s="54"/>
      <c r="E65" s="54"/>
      <c r="F65" s="54"/>
      <c r="G65" s="54"/>
      <c r="H65" s="54"/>
      <c r="I65" s="54"/>
      <c r="J65" s="54"/>
      <c r="K65" s="54"/>
      <c r="L65" s="54"/>
    </row>
    <row r="66" spans="1:18" ht="5.25" customHeight="1" x14ac:dyDescent="0.25">
      <c r="A66" s="53"/>
      <c r="B66" s="54"/>
      <c r="C66" s="54"/>
      <c r="D66" s="54"/>
      <c r="E66" s="54"/>
      <c r="F66" s="54"/>
      <c r="G66" s="54"/>
      <c r="H66" s="54"/>
      <c r="I66" s="54"/>
      <c r="J66" s="54"/>
      <c r="K66" s="54"/>
      <c r="L66" s="54"/>
    </row>
    <row r="67" spans="1:18" ht="11.25" customHeight="1" x14ac:dyDescent="0.25">
      <c r="A67" s="53" t="s">
        <v>232</v>
      </c>
      <c r="B67" s="90" t="s">
        <v>233</v>
      </c>
      <c r="C67" s="90"/>
      <c r="D67" s="90"/>
      <c r="E67" s="90"/>
      <c r="F67" s="90"/>
      <c r="G67" s="90"/>
      <c r="H67" s="90"/>
      <c r="I67" s="90"/>
      <c r="J67" s="90"/>
      <c r="K67" s="90"/>
      <c r="L67" s="90"/>
      <c r="M67" s="90"/>
      <c r="N67" s="90"/>
      <c r="O67" s="90"/>
      <c r="P67" s="90"/>
      <c r="Q67" s="90"/>
      <c r="R67" s="90"/>
    </row>
    <row r="68" spans="1:18" ht="34.5" customHeight="1" x14ac:dyDescent="0.25">
      <c r="B68" s="90"/>
      <c r="C68" s="90"/>
      <c r="D68" s="90"/>
      <c r="E68" s="90"/>
      <c r="F68" s="90"/>
      <c r="G68" s="90"/>
      <c r="H68" s="90"/>
      <c r="I68" s="90"/>
      <c r="J68" s="90"/>
      <c r="K68" s="90"/>
      <c r="L68" s="90"/>
      <c r="M68" s="90"/>
      <c r="N68" s="90"/>
      <c r="O68" s="90"/>
      <c r="P68" s="90"/>
      <c r="Q68" s="90"/>
      <c r="R68" s="90"/>
    </row>
    <row r="69" spans="1:18" ht="34.5" customHeight="1" x14ac:dyDescent="0.25">
      <c r="B69" s="90"/>
      <c r="C69" s="90"/>
      <c r="D69" s="90"/>
      <c r="E69" s="90"/>
      <c r="F69" s="90"/>
      <c r="G69" s="90"/>
      <c r="H69" s="90"/>
      <c r="I69" s="90"/>
      <c r="J69" s="90"/>
      <c r="K69" s="90"/>
      <c r="L69" s="90"/>
      <c r="M69" s="90"/>
      <c r="N69" s="90"/>
      <c r="O69" s="90"/>
      <c r="P69" s="90"/>
      <c r="Q69" s="90"/>
      <c r="R69" s="90"/>
    </row>
    <row r="70" spans="1:18" ht="30" customHeight="1" x14ac:dyDescent="0.25">
      <c r="B70" s="90"/>
      <c r="C70" s="90"/>
      <c r="D70" s="90"/>
      <c r="E70" s="90"/>
      <c r="F70" s="90"/>
      <c r="G70" s="90"/>
      <c r="H70" s="90"/>
      <c r="I70" s="90"/>
      <c r="J70" s="90"/>
      <c r="K70" s="90"/>
      <c r="L70" s="90"/>
      <c r="M70" s="90"/>
      <c r="N70" s="90"/>
      <c r="O70" s="90"/>
      <c r="P70" s="90"/>
      <c r="Q70" s="90"/>
      <c r="R70" s="90"/>
    </row>
  </sheetData>
  <mergeCells count="7">
    <mergeCell ref="B67:R70"/>
    <mergeCell ref="J3:K3"/>
    <mergeCell ref="N3:O3"/>
    <mergeCell ref="P3:Q3"/>
    <mergeCell ref="J6:K6"/>
    <mergeCell ref="N6:O6"/>
    <mergeCell ref="P6:Q6"/>
  </mergeCells>
  <pageMargins left="0.23622047244094491" right="0.15748031496062992" top="0.62992125984251968" bottom="0.64930555555555558" header="0.19685039370078741" footer="0.47244094488188981"/>
  <pageSetup paperSize="9" scale="55" orientation="landscape" r:id="rId1"/>
  <headerFooter differentFirst="1">
    <oddHeader>&amp;L&amp;"-,Bold"Shareholding Pattern - Regulation 31 - 
Mukand Ltd.&amp;C&amp;"-,Bold"Scrip Code (BSE)- 500460
Scrip Name (NSE)- MUKANDLTD&amp;R&amp;"-,Bold"Qtr Ended - 30th Sep, 2019</oddHeader>
    <oddFooter>&amp;RPage 4</oddFooter>
    <firstHeader>&amp;L&amp;"-,Bold"Shareholding Pattern - Regulation 31 - 
Mukand Ltd.&amp;C&amp;"-,Bold"Scrip Code (BSE)- 500460
Scrip Name (NSE)- MUKANDLTD&amp;R&amp;"-,Bold"Qtr Ended - 30th Sep, 2019</firstHeader>
    <firstFooter>&amp;RPage 3</firstFooter>
  </headerFooter>
  <rowBreaks count="1" manualBreakCount="1">
    <brk id="39" max="17" man="1"/>
  </rowBreaks>
  <ignoredErrors>
    <ignoredError sqref="M55 Q49 I4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8"/>
  <sheetViews>
    <sheetView topLeftCell="A16" zoomScale="70" zoomScaleNormal="70" zoomScaleSheetLayoutView="80" zoomScalePageLayoutView="60" workbookViewId="0">
      <selection activeCell="B47" sqref="B47"/>
    </sheetView>
  </sheetViews>
  <sheetFormatPr defaultRowHeight="15" x14ac:dyDescent="0.25"/>
  <cols>
    <col min="1" max="1" width="10.7109375" style="78" customWidth="1"/>
    <col min="2" max="2" width="46.140625" style="78" customWidth="1"/>
    <col min="3" max="3" width="12.140625" style="78" customWidth="1"/>
    <col min="4" max="8" width="16.7109375" style="78" customWidth="1"/>
    <col min="9" max="9" width="12.7109375" style="78" customWidth="1"/>
    <col min="10" max="10" width="14.42578125" style="78" customWidth="1"/>
    <col min="11" max="11" width="12.7109375" style="78" customWidth="1"/>
    <col min="12" max="13" width="20.7109375" style="78" customWidth="1"/>
    <col min="14" max="14" width="11.28515625" style="78" customWidth="1"/>
    <col min="15" max="15" width="11.140625" style="78" customWidth="1"/>
    <col min="16" max="16" width="11" style="78" customWidth="1"/>
    <col min="17" max="17" width="14.5703125" style="78" customWidth="1"/>
    <col min="18" max="18" width="15.85546875" style="78" customWidth="1"/>
    <col min="19" max="19" width="10" style="78" bestFit="1" customWidth="1"/>
    <col min="20" max="16384" width="9.140625" style="78"/>
  </cols>
  <sheetData>
    <row r="1" spans="1:18" s="68" customFormat="1" ht="15.75" x14ac:dyDescent="0.25">
      <c r="A1" s="68" t="s">
        <v>94</v>
      </c>
    </row>
    <row r="3" spans="1:18" s="70" customFormat="1" ht="102.75" customHeight="1" x14ac:dyDescent="0.25">
      <c r="A3" s="69" t="s">
        <v>20</v>
      </c>
      <c r="B3" s="69" t="s">
        <v>69</v>
      </c>
      <c r="C3" s="69" t="s">
        <v>70</v>
      </c>
      <c r="D3" s="69" t="s">
        <v>23</v>
      </c>
      <c r="E3" s="69" t="s">
        <v>24</v>
      </c>
      <c r="F3" s="69" t="s">
        <v>25</v>
      </c>
      <c r="G3" s="69" t="s">
        <v>26</v>
      </c>
      <c r="H3" s="69" t="s">
        <v>71</v>
      </c>
      <c r="I3" s="69" t="s">
        <v>72</v>
      </c>
      <c r="J3" s="93" t="s">
        <v>29</v>
      </c>
      <c r="K3" s="93"/>
      <c r="L3" s="69" t="s">
        <v>30</v>
      </c>
      <c r="M3" s="69" t="s">
        <v>31</v>
      </c>
      <c r="N3" s="93" t="s">
        <v>32</v>
      </c>
      <c r="O3" s="93"/>
      <c r="P3" s="93" t="s">
        <v>33</v>
      </c>
      <c r="Q3" s="93"/>
      <c r="R3" s="69" t="s">
        <v>34</v>
      </c>
    </row>
    <row r="4" spans="1:18" s="70" customFormat="1" ht="48.75" customHeight="1" x14ac:dyDescent="0.25">
      <c r="A4" s="71"/>
      <c r="B4" s="71"/>
      <c r="C4" s="71"/>
      <c r="D4" s="71"/>
      <c r="E4" s="71"/>
      <c r="F4" s="71"/>
      <c r="G4" s="71"/>
      <c r="H4" s="71"/>
      <c r="I4" s="71"/>
      <c r="J4" s="72" t="s">
        <v>35</v>
      </c>
      <c r="K4" s="69" t="s">
        <v>36</v>
      </c>
      <c r="L4" s="73"/>
      <c r="M4" s="71"/>
      <c r="N4" s="74" t="s">
        <v>37</v>
      </c>
      <c r="O4" s="69" t="s">
        <v>38</v>
      </c>
      <c r="P4" s="69" t="s">
        <v>37</v>
      </c>
      <c r="Q4" s="69" t="s">
        <v>38</v>
      </c>
      <c r="R4" s="71"/>
    </row>
    <row r="5" spans="1:18" s="70" customFormat="1" ht="24.75" customHeight="1" x14ac:dyDescent="0.25">
      <c r="A5" s="71"/>
      <c r="B5" s="71"/>
      <c r="C5" s="71"/>
      <c r="D5" s="71"/>
      <c r="E5" s="71"/>
      <c r="F5" s="71"/>
      <c r="G5" s="71"/>
      <c r="H5" s="71"/>
      <c r="I5" s="71"/>
      <c r="J5" s="69" t="s">
        <v>209</v>
      </c>
      <c r="K5" s="71"/>
      <c r="L5" s="71"/>
      <c r="M5" s="71"/>
      <c r="N5" s="71"/>
      <c r="O5" s="71"/>
      <c r="P5" s="71"/>
      <c r="Q5" s="71"/>
      <c r="R5" s="71"/>
    </row>
    <row r="6" spans="1:18" s="70" customFormat="1" x14ac:dyDescent="0.25">
      <c r="A6" s="75"/>
      <c r="B6" s="75" t="s">
        <v>42</v>
      </c>
      <c r="C6" s="75" t="s">
        <v>43</v>
      </c>
      <c r="D6" s="75" t="s">
        <v>44</v>
      </c>
      <c r="E6" s="75" t="s">
        <v>45</v>
      </c>
      <c r="F6" s="75" t="s">
        <v>46</v>
      </c>
      <c r="G6" s="75" t="s">
        <v>47</v>
      </c>
      <c r="H6" s="75" t="s">
        <v>48</v>
      </c>
      <c r="I6" s="75" t="s">
        <v>49</v>
      </c>
      <c r="J6" s="94" t="s">
        <v>50</v>
      </c>
      <c r="K6" s="94"/>
      <c r="L6" s="75" t="s">
        <v>51</v>
      </c>
      <c r="M6" s="75" t="s">
        <v>52</v>
      </c>
      <c r="N6" s="94" t="s">
        <v>53</v>
      </c>
      <c r="O6" s="94"/>
      <c r="P6" s="94" t="s">
        <v>54</v>
      </c>
      <c r="Q6" s="94"/>
      <c r="R6" s="75" t="s">
        <v>55</v>
      </c>
    </row>
    <row r="7" spans="1:18" x14ac:dyDescent="0.25">
      <c r="A7" s="76" t="s">
        <v>73</v>
      </c>
      <c r="B7" s="77" t="s">
        <v>88</v>
      </c>
      <c r="C7" s="77"/>
      <c r="D7" s="77"/>
      <c r="E7" s="77"/>
      <c r="F7" s="77"/>
      <c r="G7" s="77"/>
      <c r="H7" s="77"/>
      <c r="I7" s="77"/>
      <c r="J7" s="77"/>
      <c r="K7" s="77"/>
      <c r="L7" s="77"/>
      <c r="M7" s="77"/>
      <c r="N7" s="77"/>
      <c r="O7" s="77"/>
      <c r="P7" s="77"/>
      <c r="Q7" s="77"/>
      <c r="R7" s="77"/>
    </row>
    <row r="8" spans="1:18" x14ac:dyDescent="0.25">
      <c r="A8" s="79" t="s">
        <v>75</v>
      </c>
      <c r="B8" s="77" t="s">
        <v>95</v>
      </c>
      <c r="C8" s="77"/>
      <c r="D8" s="77">
        <v>3</v>
      </c>
      <c r="E8" s="77">
        <v>924</v>
      </c>
      <c r="F8" s="77">
        <v>0</v>
      </c>
      <c r="G8" s="77">
        <v>0</v>
      </c>
      <c r="H8" s="77">
        <v>924</v>
      </c>
      <c r="I8" s="80">
        <f t="shared" ref="I8:I15" si="0">SUM(H8/141405861*100)</f>
        <v>6.534382616573439E-4</v>
      </c>
      <c r="J8" s="77">
        <v>924</v>
      </c>
      <c r="K8" s="80">
        <f>J8/141405861*100</f>
        <v>6.534382616573439E-4</v>
      </c>
      <c r="L8" s="77">
        <v>0</v>
      </c>
      <c r="M8" s="80">
        <f t="shared" ref="M8:M15" si="1">SUM((H8+L8)/141405861*100)</f>
        <v>6.534382616573439E-4</v>
      </c>
      <c r="N8" s="77">
        <v>0</v>
      </c>
      <c r="O8" s="80">
        <v>0</v>
      </c>
      <c r="P8" s="77" t="s">
        <v>60</v>
      </c>
      <c r="Q8" s="77" t="s">
        <v>60</v>
      </c>
      <c r="R8" s="77">
        <v>924</v>
      </c>
    </row>
    <row r="9" spans="1:18" x14ac:dyDescent="0.25">
      <c r="A9" s="79" t="s">
        <v>77</v>
      </c>
      <c r="B9" s="77" t="s">
        <v>96</v>
      </c>
      <c r="C9" s="77"/>
      <c r="D9" s="77">
        <v>0</v>
      </c>
      <c r="E9" s="77">
        <v>0</v>
      </c>
      <c r="F9" s="77">
        <v>0</v>
      </c>
      <c r="G9" s="77">
        <v>0</v>
      </c>
      <c r="H9" s="77">
        <v>0</v>
      </c>
      <c r="I9" s="80">
        <f t="shared" si="0"/>
        <v>0</v>
      </c>
      <c r="J9" s="77">
        <v>0</v>
      </c>
      <c r="K9" s="80">
        <f>J9/141405861*100</f>
        <v>0</v>
      </c>
      <c r="L9" s="77">
        <v>0</v>
      </c>
      <c r="M9" s="80">
        <f t="shared" si="1"/>
        <v>0</v>
      </c>
      <c r="N9" s="77">
        <v>0</v>
      </c>
      <c r="O9" s="80">
        <v>0</v>
      </c>
      <c r="P9" s="77" t="s">
        <v>60</v>
      </c>
      <c r="Q9" s="77" t="s">
        <v>60</v>
      </c>
      <c r="R9" s="77">
        <v>0</v>
      </c>
    </row>
    <row r="10" spans="1:18" x14ac:dyDescent="0.25">
      <c r="A10" s="79" t="s">
        <v>79</v>
      </c>
      <c r="B10" s="77" t="s">
        <v>97</v>
      </c>
      <c r="C10" s="77"/>
      <c r="D10" s="77">
        <v>0</v>
      </c>
      <c r="E10" s="77">
        <v>0</v>
      </c>
      <c r="F10" s="77">
        <v>0</v>
      </c>
      <c r="G10" s="77">
        <v>0</v>
      </c>
      <c r="H10" s="77">
        <v>0</v>
      </c>
      <c r="I10" s="80">
        <f t="shared" si="0"/>
        <v>0</v>
      </c>
      <c r="J10" s="77">
        <v>0</v>
      </c>
      <c r="K10" s="80">
        <f t="shared" ref="K10:K34" si="2">J10/141405861*100</f>
        <v>0</v>
      </c>
      <c r="L10" s="77">
        <v>0</v>
      </c>
      <c r="M10" s="80">
        <f t="shared" si="1"/>
        <v>0</v>
      </c>
      <c r="N10" s="77">
        <v>0</v>
      </c>
      <c r="O10" s="80">
        <v>0</v>
      </c>
      <c r="P10" s="77" t="s">
        <v>60</v>
      </c>
      <c r="Q10" s="77" t="s">
        <v>60</v>
      </c>
      <c r="R10" s="77">
        <v>0</v>
      </c>
    </row>
    <row r="11" spans="1:18" x14ac:dyDescent="0.25">
      <c r="A11" s="79" t="s">
        <v>81</v>
      </c>
      <c r="B11" s="77" t="s">
        <v>98</v>
      </c>
      <c r="C11" s="77"/>
      <c r="D11" s="77">
        <v>0</v>
      </c>
      <c r="E11" s="77">
        <v>0</v>
      </c>
      <c r="F11" s="77">
        <v>0</v>
      </c>
      <c r="G11" s="77">
        <v>0</v>
      </c>
      <c r="H11" s="77">
        <v>0</v>
      </c>
      <c r="I11" s="80">
        <f t="shared" si="0"/>
        <v>0</v>
      </c>
      <c r="J11" s="77">
        <v>0</v>
      </c>
      <c r="K11" s="80">
        <f t="shared" si="2"/>
        <v>0</v>
      </c>
      <c r="L11" s="77">
        <v>0</v>
      </c>
      <c r="M11" s="80">
        <f t="shared" si="1"/>
        <v>0</v>
      </c>
      <c r="N11" s="77">
        <v>0</v>
      </c>
      <c r="O11" s="80">
        <v>0</v>
      </c>
      <c r="P11" s="77" t="s">
        <v>60</v>
      </c>
      <c r="Q11" s="77" t="s">
        <v>60</v>
      </c>
      <c r="R11" s="77">
        <v>0</v>
      </c>
    </row>
    <row r="12" spans="1:18" x14ac:dyDescent="0.25">
      <c r="A12" s="79" t="s">
        <v>90</v>
      </c>
      <c r="B12" s="77" t="s">
        <v>99</v>
      </c>
      <c r="C12" s="77"/>
      <c r="D12" s="77">
        <v>1</v>
      </c>
      <c r="E12" s="77">
        <v>80</v>
      </c>
      <c r="F12" s="77">
        <v>0</v>
      </c>
      <c r="G12" s="77">
        <v>0</v>
      </c>
      <c r="H12" s="77">
        <v>80</v>
      </c>
      <c r="I12" s="80">
        <f t="shared" si="0"/>
        <v>5.6574741269034101E-5</v>
      </c>
      <c r="J12" s="77">
        <v>80</v>
      </c>
      <c r="K12" s="80">
        <f t="shared" si="2"/>
        <v>5.6574741269034101E-5</v>
      </c>
      <c r="L12" s="77">
        <v>0</v>
      </c>
      <c r="M12" s="80">
        <f t="shared" si="1"/>
        <v>5.6574741269034101E-5</v>
      </c>
      <c r="N12" s="77">
        <v>0</v>
      </c>
      <c r="O12" s="80">
        <v>0</v>
      </c>
      <c r="P12" s="77" t="s">
        <v>60</v>
      </c>
      <c r="Q12" s="77" t="s">
        <v>60</v>
      </c>
      <c r="R12" s="77">
        <v>0</v>
      </c>
    </row>
    <row r="13" spans="1:18" x14ac:dyDescent="0.25">
      <c r="A13" s="79" t="s">
        <v>100</v>
      </c>
      <c r="B13" s="77" t="s">
        <v>80</v>
      </c>
      <c r="C13" s="77"/>
      <c r="D13" s="77">
        <v>18</v>
      </c>
      <c r="E13" s="77">
        <v>8929</v>
      </c>
      <c r="F13" s="77">
        <v>0</v>
      </c>
      <c r="G13" s="77">
        <v>0</v>
      </c>
      <c r="H13" s="77">
        <v>8929</v>
      </c>
      <c r="I13" s="80">
        <f t="shared" si="0"/>
        <v>6.3144483098900688E-3</v>
      </c>
      <c r="J13" s="77">
        <v>8929</v>
      </c>
      <c r="K13" s="80">
        <f t="shared" si="2"/>
        <v>6.3144483098900688E-3</v>
      </c>
      <c r="L13" s="77">
        <v>0</v>
      </c>
      <c r="M13" s="80">
        <f t="shared" si="1"/>
        <v>6.3144483098900688E-3</v>
      </c>
      <c r="N13" s="77">
        <v>0</v>
      </c>
      <c r="O13" s="80">
        <v>0</v>
      </c>
      <c r="P13" s="77" t="s">
        <v>60</v>
      </c>
      <c r="Q13" s="77" t="s">
        <v>60</v>
      </c>
      <c r="R13" s="77">
        <v>6883</v>
      </c>
    </row>
    <row r="14" spans="1:18" x14ac:dyDescent="0.25">
      <c r="A14" s="79" t="s">
        <v>102</v>
      </c>
      <c r="B14" s="77" t="s">
        <v>103</v>
      </c>
      <c r="C14" s="77"/>
      <c r="D14" s="77">
        <v>2</v>
      </c>
      <c r="E14" s="77">
        <v>5345984</v>
      </c>
      <c r="F14" s="77">
        <v>0</v>
      </c>
      <c r="G14" s="77">
        <v>0</v>
      </c>
      <c r="H14" s="77">
        <v>5345984</v>
      </c>
      <c r="I14" s="80">
        <f t="shared" si="0"/>
        <v>3.7805957703549504</v>
      </c>
      <c r="J14" s="77">
        <v>5345984</v>
      </c>
      <c r="K14" s="80">
        <f t="shared" si="2"/>
        <v>3.7805957703549504</v>
      </c>
      <c r="L14" s="77">
        <v>0</v>
      </c>
      <c r="M14" s="80">
        <f t="shared" si="1"/>
        <v>3.7805957703549504</v>
      </c>
      <c r="N14" s="77">
        <v>0</v>
      </c>
      <c r="O14" s="80">
        <v>0</v>
      </c>
      <c r="P14" s="77" t="s">
        <v>60</v>
      </c>
      <c r="Q14" s="77" t="s">
        <v>60</v>
      </c>
      <c r="R14" s="77">
        <v>5345984</v>
      </c>
    </row>
    <row r="15" spans="1:18" x14ac:dyDescent="0.25">
      <c r="A15" s="79" t="s">
        <v>104</v>
      </c>
      <c r="B15" s="77" t="s">
        <v>105</v>
      </c>
      <c r="C15" s="77"/>
      <c r="D15" s="77">
        <v>0</v>
      </c>
      <c r="E15" s="77">
        <v>0</v>
      </c>
      <c r="F15" s="77">
        <v>0</v>
      </c>
      <c r="G15" s="77">
        <v>0</v>
      </c>
      <c r="H15" s="77">
        <v>0</v>
      </c>
      <c r="I15" s="80">
        <f t="shared" si="0"/>
        <v>0</v>
      </c>
      <c r="J15" s="77">
        <v>0</v>
      </c>
      <c r="K15" s="80">
        <f t="shared" si="2"/>
        <v>0</v>
      </c>
      <c r="L15" s="77">
        <v>0</v>
      </c>
      <c r="M15" s="80">
        <f t="shared" si="1"/>
        <v>0</v>
      </c>
      <c r="N15" s="77">
        <v>0</v>
      </c>
      <c r="O15" s="80">
        <v>0</v>
      </c>
      <c r="P15" s="77" t="s">
        <v>60</v>
      </c>
      <c r="Q15" s="77" t="s">
        <v>60</v>
      </c>
      <c r="R15" s="77">
        <v>0</v>
      </c>
    </row>
    <row r="16" spans="1:18" x14ac:dyDescent="0.25">
      <c r="A16" s="79" t="s">
        <v>106</v>
      </c>
      <c r="B16" s="77" t="s">
        <v>82</v>
      </c>
      <c r="C16" s="77"/>
      <c r="D16" s="77">
        <v>0</v>
      </c>
      <c r="E16" s="77">
        <v>0</v>
      </c>
      <c r="F16" s="77">
        <v>0</v>
      </c>
      <c r="G16" s="77">
        <v>0</v>
      </c>
      <c r="H16" s="77">
        <v>0</v>
      </c>
      <c r="I16" s="80">
        <f t="shared" ref="I16" si="3">SUM(H16/141405861*100)</f>
        <v>0</v>
      </c>
      <c r="J16" s="77">
        <v>0</v>
      </c>
      <c r="K16" s="80">
        <f t="shared" ref="K16" si="4">J16/141405861*100</f>
        <v>0</v>
      </c>
      <c r="L16" s="77">
        <v>0</v>
      </c>
      <c r="M16" s="80">
        <f t="shared" ref="M16" si="5">SUM((H16+L16)/141405861*100)</f>
        <v>0</v>
      </c>
      <c r="N16" s="77">
        <v>0</v>
      </c>
      <c r="O16" s="80">
        <v>0</v>
      </c>
      <c r="P16" s="77" t="s">
        <v>60</v>
      </c>
      <c r="Q16" s="77" t="s">
        <v>60</v>
      </c>
      <c r="R16" s="77">
        <v>0</v>
      </c>
    </row>
    <row r="17" spans="1:18" s="70" customFormat="1" x14ac:dyDescent="0.25">
      <c r="A17" s="71"/>
      <c r="B17" s="71" t="s">
        <v>107</v>
      </c>
      <c r="C17" s="71"/>
      <c r="D17" s="71">
        <f>+D8+D9+D10+D11+D12+D13+D14+D15+D16</f>
        <v>24</v>
      </c>
      <c r="E17" s="71">
        <f>+E8+E9+E10+E11+E12+E13+E14+E15+E16</f>
        <v>5355917</v>
      </c>
      <c r="F17" s="71">
        <f t="shared" ref="F17:G17" si="6">+F8+F9+F10+F11+F12+F13+F14+F15+F16</f>
        <v>0</v>
      </c>
      <c r="G17" s="71">
        <f t="shared" si="6"/>
        <v>0</v>
      </c>
      <c r="H17" s="71">
        <f>+H8+H9+H10+H11+H12+H13+H14+H15+H16</f>
        <v>5355917</v>
      </c>
      <c r="I17" s="81">
        <f>+I8+I9+I10+I11+I12+I13+I14+I15+I16</f>
        <v>3.7876202316677667</v>
      </c>
      <c r="J17" s="71">
        <f>+J8+J9+J10+J11+J12+J13+J14+J15+J16</f>
        <v>5355917</v>
      </c>
      <c r="K17" s="81">
        <f t="shared" si="2"/>
        <v>3.7876202316677667</v>
      </c>
      <c r="L17" s="71">
        <f>+L8+L9+L10+L11+L12+L13+L14+L15+L16</f>
        <v>0</v>
      </c>
      <c r="M17" s="81">
        <f>+M8+M9+M10+M11+M12+M13+M14+M15+M16</f>
        <v>3.7876202316677667</v>
      </c>
      <c r="N17" s="71">
        <f>+N8+N9+N10+N11+N12+N13+N14+N15+N16</f>
        <v>0</v>
      </c>
      <c r="O17" s="81">
        <f>+O8+O9+O10+O11+O12+O13+O14+O15+O16</f>
        <v>0</v>
      </c>
      <c r="P17" s="71" t="s">
        <v>60</v>
      </c>
      <c r="Q17" s="71" t="s">
        <v>60</v>
      </c>
      <c r="R17" s="71">
        <f>+R8+R9+R10+R11+R12+R13+R14+R15+R16</f>
        <v>5353791</v>
      </c>
    </row>
    <row r="18" spans="1:18" ht="30" x14ac:dyDescent="0.25">
      <c r="A18" s="76" t="s">
        <v>84</v>
      </c>
      <c r="B18" s="82" t="s">
        <v>108</v>
      </c>
      <c r="C18" s="77"/>
      <c r="D18" s="77">
        <v>0</v>
      </c>
      <c r="E18" s="77">
        <v>0</v>
      </c>
      <c r="F18" s="77">
        <v>0</v>
      </c>
      <c r="G18" s="77">
        <v>0</v>
      </c>
      <c r="H18" s="77">
        <v>0</v>
      </c>
      <c r="I18" s="80">
        <f>SUM(H18/141405861*100)</f>
        <v>0</v>
      </c>
      <c r="J18" s="77">
        <v>0</v>
      </c>
      <c r="K18" s="80">
        <f t="shared" si="2"/>
        <v>0</v>
      </c>
      <c r="L18" s="77">
        <v>0</v>
      </c>
      <c r="M18" s="80">
        <f>SUM((H18+L18)/141405861*100)</f>
        <v>0</v>
      </c>
      <c r="N18" s="77">
        <v>0</v>
      </c>
      <c r="O18" s="80">
        <v>0</v>
      </c>
      <c r="P18" s="77" t="s">
        <v>60</v>
      </c>
      <c r="Q18" s="77" t="s">
        <v>60</v>
      </c>
      <c r="R18" s="77">
        <v>0</v>
      </c>
    </row>
    <row r="19" spans="1:18" s="70" customFormat="1" x14ac:dyDescent="0.25">
      <c r="A19" s="71"/>
      <c r="B19" s="71" t="s">
        <v>109</v>
      </c>
      <c r="C19" s="71"/>
      <c r="D19" s="71">
        <f t="shared" ref="D19:R19" si="7">+D18</f>
        <v>0</v>
      </c>
      <c r="E19" s="71">
        <f t="shared" si="7"/>
        <v>0</v>
      </c>
      <c r="F19" s="71">
        <f t="shared" si="7"/>
        <v>0</v>
      </c>
      <c r="G19" s="71">
        <f t="shared" si="7"/>
        <v>0</v>
      </c>
      <c r="H19" s="71">
        <f t="shared" si="7"/>
        <v>0</v>
      </c>
      <c r="I19" s="81">
        <f t="shared" si="7"/>
        <v>0</v>
      </c>
      <c r="J19" s="71">
        <f t="shared" si="7"/>
        <v>0</v>
      </c>
      <c r="K19" s="81">
        <f t="shared" si="2"/>
        <v>0</v>
      </c>
      <c r="L19" s="71">
        <f t="shared" si="7"/>
        <v>0</v>
      </c>
      <c r="M19" s="81">
        <f>+M23</f>
        <v>3.5642086999491486E-2</v>
      </c>
      <c r="N19" s="71">
        <f t="shared" si="7"/>
        <v>0</v>
      </c>
      <c r="O19" s="81">
        <f t="shared" si="7"/>
        <v>0</v>
      </c>
      <c r="P19" s="71" t="str">
        <f t="shared" si="7"/>
        <v>NA</v>
      </c>
      <c r="Q19" s="71" t="str">
        <f t="shared" si="7"/>
        <v>NA</v>
      </c>
      <c r="R19" s="71">
        <f t="shared" si="7"/>
        <v>0</v>
      </c>
    </row>
    <row r="20" spans="1:18" x14ac:dyDescent="0.25">
      <c r="A20" s="76" t="s">
        <v>110</v>
      </c>
      <c r="B20" s="77" t="s">
        <v>111</v>
      </c>
      <c r="C20" s="77"/>
      <c r="D20" s="77"/>
      <c r="E20" s="77"/>
      <c r="F20" s="77"/>
      <c r="G20" s="77"/>
      <c r="H20" s="77"/>
      <c r="I20" s="77"/>
      <c r="J20" s="77"/>
      <c r="K20" s="77">
        <f t="shared" si="2"/>
        <v>0</v>
      </c>
      <c r="L20" s="77"/>
      <c r="M20" s="77"/>
      <c r="N20" s="77"/>
      <c r="O20" s="77"/>
      <c r="P20" s="77"/>
      <c r="Q20" s="77"/>
      <c r="R20" s="77"/>
    </row>
    <row r="21" spans="1:18" ht="30" x14ac:dyDescent="0.25">
      <c r="A21" s="83" t="s">
        <v>75</v>
      </c>
      <c r="B21" s="82" t="s">
        <v>112</v>
      </c>
      <c r="C21" s="77"/>
      <c r="D21" s="77">
        <v>35412</v>
      </c>
      <c r="E21" s="77">
        <v>12357130</v>
      </c>
      <c r="F21" s="77">
        <v>0</v>
      </c>
      <c r="G21" s="77">
        <v>0</v>
      </c>
      <c r="H21" s="77">
        <v>12357130</v>
      </c>
      <c r="I21" s="80">
        <f t="shared" ref="I21:I22" si="8">SUM(H21/141405861*100)</f>
        <v>8.7387679072227424</v>
      </c>
      <c r="J21" s="77">
        <v>12357130</v>
      </c>
      <c r="K21" s="80">
        <f t="shared" si="2"/>
        <v>8.7387679072227424</v>
      </c>
      <c r="L21" s="77">
        <v>0</v>
      </c>
      <c r="M21" s="80">
        <f>SUM((H21+L21)/141405861*100)</f>
        <v>8.7387679072227424</v>
      </c>
      <c r="N21" s="77">
        <v>0</v>
      </c>
      <c r="O21" s="80">
        <v>0</v>
      </c>
      <c r="P21" s="77" t="s">
        <v>60</v>
      </c>
      <c r="Q21" s="77" t="s">
        <v>60</v>
      </c>
      <c r="R21" s="77">
        <v>11720474</v>
      </c>
    </row>
    <row r="22" spans="1:18" ht="30" x14ac:dyDescent="0.25">
      <c r="A22" s="79"/>
      <c r="B22" s="82" t="s">
        <v>113</v>
      </c>
      <c r="C22" s="77"/>
      <c r="D22" s="77">
        <v>134</v>
      </c>
      <c r="E22" s="77">
        <v>8206244</v>
      </c>
      <c r="F22" s="77">
        <v>0</v>
      </c>
      <c r="G22" s="77">
        <v>0</v>
      </c>
      <c r="H22" s="77">
        <v>8206244</v>
      </c>
      <c r="I22" s="80">
        <f t="shared" si="8"/>
        <v>5.8033266386320435</v>
      </c>
      <c r="J22" s="77">
        <v>8206244</v>
      </c>
      <c r="K22" s="80">
        <f t="shared" si="2"/>
        <v>5.8033266386320435</v>
      </c>
      <c r="L22" s="77">
        <v>0</v>
      </c>
      <c r="M22" s="80">
        <f>SUM((H22+L22)/141405861*100)</f>
        <v>5.8033266386320435</v>
      </c>
      <c r="N22" s="77">
        <v>0</v>
      </c>
      <c r="O22" s="80">
        <v>0</v>
      </c>
      <c r="P22" s="77" t="s">
        <v>60</v>
      </c>
      <c r="Q22" s="77" t="s">
        <v>60</v>
      </c>
      <c r="R22" s="77">
        <v>8066244</v>
      </c>
    </row>
    <row r="23" spans="1:18" x14ac:dyDescent="0.25">
      <c r="A23" s="79" t="s">
        <v>77</v>
      </c>
      <c r="B23" s="77" t="s">
        <v>114</v>
      </c>
      <c r="C23" s="77"/>
      <c r="D23" s="77">
        <v>2</v>
      </c>
      <c r="E23" s="77">
        <v>50400</v>
      </c>
      <c r="F23" s="77">
        <v>0</v>
      </c>
      <c r="G23" s="77">
        <v>0</v>
      </c>
      <c r="H23" s="77">
        <v>50400</v>
      </c>
      <c r="I23" s="80">
        <f>SUM(H23/141405861*100)</f>
        <v>3.5642086999491486E-2</v>
      </c>
      <c r="J23" s="77">
        <v>50400</v>
      </c>
      <c r="K23" s="80">
        <f t="shared" si="2"/>
        <v>3.5642086999491486E-2</v>
      </c>
      <c r="L23" s="77">
        <v>0</v>
      </c>
      <c r="M23" s="80">
        <f>SUM((H23+L23)/141405861*100)</f>
        <v>3.5642086999491486E-2</v>
      </c>
      <c r="N23" s="77">
        <v>0</v>
      </c>
      <c r="O23" s="80">
        <v>0</v>
      </c>
      <c r="P23" s="77" t="s">
        <v>60</v>
      </c>
      <c r="Q23" s="77" t="s">
        <v>60</v>
      </c>
      <c r="R23" s="77">
        <v>50400</v>
      </c>
    </row>
    <row r="24" spans="1:18" x14ac:dyDescent="0.25">
      <c r="A24" s="79" t="s">
        <v>79</v>
      </c>
      <c r="B24" s="77" t="s">
        <v>115</v>
      </c>
      <c r="C24" s="77"/>
      <c r="D24" s="77">
        <v>0</v>
      </c>
      <c r="E24" s="77">
        <v>0</v>
      </c>
      <c r="F24" s="77">
        <v>0</v>
      </c>
      <c r="G24" s="77">
        <v>0</v>
      </c>
      <c r="H24" s="77">
        <v>0</v>
      </c>
      <c r="I24" s="80">
        <f>SUM(H24/141405861*100)</f>
        <v>0</v>
      </c>
      <c r="J24" s="77">
        <v>0</v>
      </c>
      <c r="K24" s="80">
        <f t="shared" si="2"/>
        <v>0</v>
      </c>
      <c r="L24" s="77">
        <v>0</v>
      </c>
      <c r="M24" s="80">
        <f>SUM((H24+L24)/141405861*100)</f>
        <v>0</v>
      </c>
      <c r="N24" s="77">
        <v>0</v>
      </c>
      <c r="O24" s="80">
        <v>0</v>
      </c>
      <c r="P24" s="77" t="s">
        <v>60</v>
      </c>
      <c r="Q24" s="77" t="s">
        <v>60</v>
      </c>
      <c r="R24" s="77">
        <v>0</v>
      </c>
    </row>
    <row r="25" spans="1:18" ht="30" x14ac:dyDescent="0.25">
      <c r="A25" s="79" t="s">
        <v>81</v>
      </c>
      <c r="B25" s="82" t="s">
        <v>116</v>
      </c>
      <c r="C25" s="77"/>
      <c r="D25" s="77">
        <v>0</v>
      </c>
      <c r="E25" s="77">
        <v>0</v>
      </c>
      <c r="F25" s="77">
        <v>0</v>
      </c>
      <c r="G25" s="77">
        <v>0</v>
      </c>
      <c r="H25" s="77">
        <v>0</v>
      </c>
      <c r="I25" s="80">
        <f>SUM(H25/141405861*100)</f>
        <v>0</v>
      </c>
      <c r="J25" s="77">
        <v>0</v>
      </c>
      <c r="K25" s="80">
        <f t="shared" si="2"/>
        <v>0</v>
      </c>
      <c r="L25" s="77">
        <v>0</v>
      </c>
      <c r="M25" s="80">
        <f>SUM((H25+L25)/141405861*100)</f>
        <v>0</v>
      </c>
      <c r="N25" s="77">
        <v>0</v>
      </c>
      <c r="O25" s="80">
        <v>0</v>
      </c>
      <c r="P25" s="77" t="s">
        <v>60</v>
      </c>
      <c r="Q25" s="77" t="s">
        <v>60</v>
      </c>
      <c r="R25" s="77">
        <v>0</v>
      </c>
    </row>
    <row r="26" spans="1:18" x14ac:dyDescent="0.25">
      <c r="A26" s="79" t="s">
        <v>90</v>
      </c>
      <c r="B26" s="77" t="s">
        <v>82</v>
      </c>
      <c r="C26" s="77"/>
      <c r="D26" s="77"/>
      <c r="E26" s="77"/>
      <c r="F26" s="77"/>
      <c r="G26" s="77"/>
      <c r="H26" s="77"/>
      <c r="I26" s="77"/>
      <c r="J26" s="77"/>
      <c r="K26" s="77">
        <f t="shared" si="2"/>
        <v>0</v>
      </c>
      <c r="L26" s="77"/>
      <c r="M26" s="77"/>
      <c r="N26" s="77"/>
      <c r="O26" s="77"/>
      <c r="P26" s="77"/>
      <c r="Q26" s="77"/>
      <c r="R26" s="77"/>
    </row>
    <row r="27" spans="1:18" x14ac:dyDescent="0.25">
      <c r="A27" s="77"/>
      <c r="B27" s="77" t="s">
        <v>117</v>
      </c>
      <c r="C27" s="77"/>
      <c r="D27" s="77">
        <v>7</v>
      </c>
      <c r="E27" s="77">
        <v>5575</v>
      </c>
      <c r="F27" s="77">
        <v>0</v>
      </c>
      <c r="G27" s="77">
        <v>0</v>
      </c>
      <c r="H27" s="77">
        <v>5575</v>
      </c>
      <c r="I27" s="80">
        <f t="shared" ref="I27:I35" si="9">SUM(H27/141405861*100)</f>
        <v>3.942552282185814E-3</v>
      </c>
      <c r="J27" s="77">
        <v>5575</v>
      </c>
      <c r="K27" s="80">
        <f t="shared" si="2"/>
        <v>3.942552282185814E-3</v>
      </c>
      <c r="L27" s="77">
        <v>0</v>
      </c>
      <c r="M27" s="80">
        <f t="shared" ref="M27:M35" si="10">SUM((H27+L27)/141405861*100)</f>
        <v>3.942552282185814E-3</v>
      </c>
      <c r="N27" s="77">
        <v>0</v>
      </c>
      <c r="O27" s="80">
        <v>0</v>
      </c>
      <c r="P27" s="77" t="s">
        <v>60</v>
      </c>
      <c r="Q27" s="77" t="s">
        <v>60</v>
      </c>
      <c r="R27" s="77">
        <v>5575</v>
      </c>
    </row>
    <row r="28" spans="1:18" x14ac:dyDescent="0.25">
      <c r="A28" s="77"/>
      <c r="B28" s="77" t="s">
        <v>215</v>
      </c>
      <c r="C28" s="77"/>
      <c r="D28" s="77">
        <v>12</v>
      </c>
      <c r="E28" s="77">
        <v>2260152</v>
      </c>
      <c r="F28" s="77">
        <v>0</v>
      </c>
      <c r="G28" s="77">
        <v>0</v>
      </c>
      <c r="H28" s="77">
        <v>2260152</v>
      </c>
      <c r="I28" s="80">
        <f t="shared" si="9"/>
        <v>1.5983439328586246</v>
      </c>
      <c r="J28" s="77">
        <v>2260152</v>
      </c>
      <c r="K28" s="80">
        <f t="shared" si="2"/>
        <v>1.5983439328586246</v>
      </c>
      <c r="L28" s="77">
        <v>0</v>
      </c>
      <c r="M28" s="80">
        <f t="shared" si="10"/>
        <v>1.5983439328586246</v>
      </c>
      <c r="N28" s="77">
        <v>0</v>
      </c>
      <c r="O28" s="80">
        <v>0</v>
      </c>
      <c r="P28" s="77" t="s">
        <v>60</v>
      </c>
      <c r="Q28" s="77" t="s">
        <v>60</v>
      </c>
      <c r="R28" s="77">
        <v>2260152</v>
      </c>
    </row>
    <row r="29" spans="1:18" x14ac:dyDescent="0.25">
      <c r="A29" s="77"/>
      <c r="B29" s="77" t="s">
        <v>118</v>
      </c>
      <c r="C29" s="77"/>
      <c r="D29" s="77">
        <v>2</v>
      </c>
      <c r="E29" s="77">
        <v>1340</v>
      </c>
      <c r="F29" s="77">
        <v>0</v>
      </c>
      <c r="G29" s="77">
        <v>0</v>
      </c>
      <c r="H29" s="77">
        <v>1340</v>
      </c>
      <c r="I29" s="80">
        <f t="shared" si="9"/>
        <v>9.4762691625632116E-4</v>
      </c>
      <c r="J29" s="77">
        <v>1340</v>
      </c>
      <c r="K29" s="80">
        <f t="shared" si="2"/>
        <v>9.4762691625632116E-4</v>
      </c>
      <c r="L29" s="77">
        <v>0</v>
      </c>
      <c r="M29" s="80">
        <f t="shared" si="10"/>
        <v>9.4762691625632116E-4</v>
      </c>
      <c r="N29" s="77">
        <v>0</v>
      </c>
      <c r="O29" s="80">
        <v>0</v>
      </c>
      <c r="P29" s="77" t="s">
        <v>60</v>
      </c>
      <c r="Q29" s="77" t="s">
        <v>60</v>
      </c>
      <c r="R29" s="77">
        <v>0</v>
      </c>
    </row>
    <row r="30" spans="1:18" x14ac:dyDescent="0.25">
      <c r="A30" s="77"/>
      <c r="B30" s="77" t="s">
        <v>119</v>
      </c>
      <c r="C30" s="77"/>
      <c r="D30" s="77">
        <v>13</v>
      </c>
      <c r="E30" s="77">
        <v>1014</v>
      </c>
      <c r="F30" s="77">
        <v>0</v>
      </c>
      <c r="G30" s="77">
        <v>0</v>
      </c>
      <c r="H30" s="77">
        <v>1014</v>
      </c>
      <c r="I30" s="80">
        <f t="shared" si="9"/>
        <v>7.1708484558500717E-4</v>
      </c>
      <c r="J30" s="77">
        <v>1014</v>
      </c>
      <c r="K30" s="80">
        <f t="shared" si="2"/>
        <v>7.1708484558500717E-4</v>
      </c>
      <c r="L30" s="77">
        <v>0</v>
      </c>
      <c r="M30" s="80">
        <f t="shared" si="10"/>
        <v>7.1708484558500717E-4</v>
      </c>
      <c r="N30" s="77">
        <v>0</v>
      </c>
      <c r="O30" s="80">
        <v>0</v>
      </c>
      <c r="P30" s="77" t="s">
        <v>60</v>
      </c>
      <c r="Q30" s="77" t="s">
        <v>60</v>
      </c>
      <c r="R30" s="77">
        <v>0</v>
      </c>
    </row>
    <row r="31" spans="1:18" x14ac:dyDescent="0.25">
      <c r="A31" s="77"/>
      <c r="B31" s="77" t="s">
        <v>120</v>
      </c>
      <c r="C31" s="77"/>
      <c r="D31" s="77">
        <v>217</v>
      </c>
      <c r="E31" s="77">
        <v>591528</v>
      </c>
      <c r="F31" s="77">
        <v>0</v>
      </c>
      <c r="G31" s="77">
        <v>0</v>
      </c>
      <c r="H31" s="77">
        <v>591528</v>
      </c>
      <c r="I31" s="80">
        <f t="shared" si="9"/>
        <v>0.41831929441736504</v>
      </c>
      <c r="J31" s="77">
        <v>591528</v>
      </c>
      <c r="K31" s="80">
        <f t="shared" si="2"/>
        <v>0.41831929441736504</v>
      </c>
      <c r="L31" s="77">
        <v>0</v>
      </c>
      <c r="M31" s="80">
        <f t="shared" si="10"/>
        <v>0.41831929441736504</v>
      </c>
      <c r="N31" s="77">
        <v>0</v>
      </c>
      <c r="O31" s="80">
        <v>0</v>
      </c>
      <c r="P31" s="77" t="s">
        <v>60</v>
      </c>
      <c r="Q31" s="77" t="s">
        <v>60</v>
      </c>
      <c r="R31" s="77">
        <v>591290</v>
      </c>
    </row>
    <row r="32" spans="1:18" x14ac:dyDescent="0.25">
      <c r="A32" s="77"/>
      <c r="B32" s="77" t="s">
        <v>121</v>
      </c>
      <c r="C32" s="77"/>
      <c r="D32" s="77">
        <v>41</v>
      </c>
      <c r="E32" s="77">
        <v>53697</v>
      </c>
      <c r="F32" s="77">
        <v>0</v>
      </c>
      <c r="G32" s="77">
        <v>0</v>
      </c>
      <c r="H32" s="77">
        <v>53697</v>
      </c>
      <c r="I32" s="80">
        <f t="shared" si="9"/>
        <v>3.7973673524041553E-2</v>
      </c>
      <c r="J32" s="77">
        <v>53697</v>
      </c>
      <c r="K32" s="80">
        <f t="shared" si="2"/>
        <v>3.7973673524041553E-2</v>
      </c>
      <c r="L32" s="77">
        <v>0</v>
      </c>
      <c r="M32" s="80">
        <f t="shared" si="10"/>
        <v>3.7973673524041553E-2</v>
      </c>
      <c r="N32" s="77">
        <v>0</v>
      </c>
      <c r="O32" s="80">
        <v>0</v>
      </c>
      <c r="P32" s="77" t="s">
        <v>60</v>
      </c>
      <c r="Q32" s="77" t="s">
        <v>60</v>
      </c>
      <c r="R32" s="77">
        <v>53697</v>
      </c>
    </row>
    <row r="33" spans="1:18" x14ac:dyDescent="0.25">
      <c r="A33" s="77"/>
      <c r="B33" s="77" t="s">
        <v>122</v>
      </c>
      <c r="C33" s="77"/>
      <c r="D33" s="77">
        <v>8</v>
      </c>
      <c r="E33" s="77">
        <v>597</v>
      </c>
      <c r="F33" s="77">
        <v>0</v>
      </c>
      <c r="G33" s="77">
        <v>0</v>
      </c>
      <c r="H33" s="77">
        <v>597</v>
      </c>
      <c r="I33" s="80">
        <f t="shared" si="9"/>
        <v>4.2218900672016696E-4</v>
      </c>
      <c r="J33" s="77">
        <v>597</v>
      </c>
      <c r="K33" s="80">
        <f t="shared" si="2"/>
        <v>4.2218900672016696E-4</v>
      </c>
      <c r="L33" s="77">
        <v>0</v>
      </c>
      <c r="M33" s="80">
        <f t="shared" si="10"/>
        <v>4.2218900672016696E-4</v>
      </c>
      <c r="N33" s="77">
        <v>0</v>
      </c>
      <c r="O33" s="80">
        <v>0</v>
      </c>
      <c r="P33" s="77" t="s">
        <v>60</v>
      </c>
      <c r="Q33" s="77" t="s">
        <v>60</v>
      </c>
      <c r="R33" s="77">
        <v>0</v>
      </c>
    </row>
    <row r="34" spans="1:18" x14ac:dyDescent="0.25">
      <c r="A34" s="77"/>
      <c r="B34" s="77" t="s">
        <v>123</v>
      </c>
      <c r="C34" s="77"/>
      <c r="D34" s="77">
        <v>208</v>
      </c>
      <c r="E34" s="77">
        <v>207953</v>
      </c>
      <c r="F34" s="77">
        <v>0</v>
      </c>
      <c r="G34" s="77">
        <v>0</v>
      </c>
      <c r="H34" s="77">
        <v>207953</v>
      </c>
      <c r="I34" s="80">
        <f>SUM(H34/141405861*100)</f>
        <v>0.14706108963899311</v>
      </c>
      <c r="J34" s="77">
        <v>207953</v>
      </c>
      <c r="K34" s="80">
        <f t="shared" si="2"/>
        <v>0.14706108963899311</v>
      </c>
      <c r="L34" s="77">
        <v>0</v>
      </c>
      <c r="M34" s="80">
        <f t="shared" si="10"/>
        <v>0.14706108963899311</v>
      </c>
      <c r="N34" s="77">
        <v>0</v>
      </c>
      <c r="O34" s="80">
        <v>0</v>
      </c>
      <c r="P34" s="77" t="s">
        <v>60</v>
      </c>
      <c r="Q34" s="77" t="s">
        <v>60</v>
      </c>
      <c r="R34" s="77">
        <v>207905</v>
      </c>
    </row>
    <row r="35" spans="1:18" x14ac:dyDescent="0.25">
      <c r="A35" s="77"/>
      <c r="B35" s="77" t="s">
        <v>124</v>
      </c>
      <c r="C35" s="77"/>
      <c r="D35" s="77">
        <v>323</v>
      </c>
      <c r="E35" s="77">
        <v>6765803</v>
      </c>
      <c r="F35" s="77">
        <v>0</v>
      </c>
      <c r="G35" s="77">
        <v>0</v>
      </c>
      <c r="H35" s="77">
        <v>6765803</v>
      </c>
      <c r="I35" s="80">
        <f t="shared" si="9"/>
        <v>4.7846694275281845</v>
      </c>
      <c r="J35" s="77">
        <v>6765803</v>
      </c>
      <c r="K35" s="80">
        <f>J35/141405861*100</f>
        <v>4.7846694275281845</v>
      </c>
      <c r="L35" s="77">
        <v>0</v>
      </c>
      <c r="M35" s="80">
        <f t="shared" si="10"/>
        <v>4.7846694275281845</v>
      </c>
      <c r="N35" s="77">
        <v>0</v>
      </c>
      <c r="O35" s="80">
        <v>0</v>
      </c>
      <c r="P35" s="77" t="s">
        <v>60</v>
      </c>
      <c r="Q35" s="77" t="s">
        <v>60</v>
      </c>
      <c r="R35" s="77">
        <v>6367070</v>
      </c>
    </row>
    <row r="36" spans="1:18" x14ac:dyDescent="0.25">
      <c r="A36" s="77"/>
      <c r="B36" s="77" t="s">
        <v>230</v>
      </c>
      <c r="C36" s="77"/>
      <c r="D36" s="77">
        <v>1</v>
      </c>
      <c r="E36" s="77">
        <v>416043</v>
      </c>
      <c r="F36" s="77">
        <v>0</v>
      </c>
      <c r="G36" s="77">
        <v>0</v>
      </c>
      <c r="H36" s="77">
        <v>416043</v>
      </c>
      <c r="I36" s="80">
        <f t="shared" ref="I36" si="11">SUM(H36/141405861*100)</f>
        <v>0.29421906352240945</v>
      </c>
      <c r="J36" s="77">
        <v>416043</v>
      </c>
      <c r="K36" s="80">
        <f t="shared" ref="K36" si="12">J36/141405861*100</f>
        <v>0.29421906352240945</v>
      </c>
      <c r="L36" s="77">
        <v>0</v>
      </c>
      <c r="M36" s="80">
        <f t="shared" ref="M36" si="13">SUM((H36+L36)/141405861*100)</f>
        <v>0.29421906352240945</v>
      </c>
      <c r="N36" s="77">
        <v>0</v>
      </c>
      <c r="O36" s="80">
        <v>0</v>
      </c>
      <c r="P36" s="77" t="s">
        <v>60</v>
      </c>
      <c r="Q36" s="77" t="s">
        <v>60</v>
      </c>
      <c r="R36" s="77">
        <v>416043</v>
      </c>
    </row>
    <row r="37" spans="1:18" s="70" customFormat="1" x14ac:dyDescent="0.25">
      <c r="A37" s="71"/>
      <c r="B37" s="71" t="s">
        <v>125</v>
      </c>
      <c r="C37" s="71"/>
      <c r="D37" s="71">
        <f>SUM(D21:D36)</f>
        <v>36380</v>
      </c>
      <c r="E37" s="71">
        <f>SUM(E21:E36)</f>
        <v>30917476</v>
      </c>
      <c r="F37" s="71">
        <f>SUM(F21:F35)</f>
        <v>0</v>
      </c>
      <c r="G37" s="71">
        <f>SUM(G21:G35)</f>
        <v>0</v>
      </c>
      <c r="H37" s="71">
        <f>SUM(H21:H36)</f>
        <v>30917476</v>
      </c>
      <c r="I37" s="81">
        <f>SUM(I21:I36)</f>
        <v>21.864352567394644</v>
      </c>
      <c r="J37" s="71">
        <f>SUM(J21:J36)</f>
        <v>30917476</v>
      </c>
      <c r="K37" s="81">
        <f>J37/141405861*100</f>
        <v>21.864352567394644</v>
      </c>
      <c r="L37" s="71">
        <f>SUM(L21:L35)</f>
        <v>0</v>
      </c>
      <c r="M37" s="81">
        <f>SUM(M21:M36)</f>
        <v>21.864352567394644</v>
      </c>
      <c r="N37" s="71">
        <f>SUM(N21:N35)</f>
        <v>0</v>
      </c>
      <c r="O37" s="81">
        <f>SUM(O21:O35)</f>
        <v>0</v>
      </c>
      <c r="P37" s="71" t="e">
        <f>+#REF!</f>
        <v>#REF!</v>
      </c>
      <c r="Q37" s="71" t="e">
        <f>+#REF!</f>
        <v>#REF!</v>
      </c>
      <c r="R37" s="71">
        <f>SUM(R21:R36)</f>
        <v>29738850</v>
      </c>
    </row>
    <row r="38" spans="1:18" s="70" customFormat="1" ht="30" x14ac:dyDescent="0.25">
      <c r="A38" s="71"/>
      <c r="B38" s="73" t="s">
        <v>126</v>
      </c>
      <c r="C38" s="71"/>
      <c r="D38" s="71">
        <f t="shared" ref="D38:J38" si="14">+D17+D19+D37</f>
        <v>36404</v>
      </c>
      <c r="E38" s="71">
        <f t="shared" si="14"/>
        <v>36273393</v>
      </c>
      <c r="F38" s="71">
        <f t="shared" si="14"/>
        <v>0</v>
      </c>
      <c r="G38" s="71">
        <f t="shared" si="14"/>
        <v>0</v>
      </c>
      <c r="H38" s="71">
        <f t="shared" si="14"/>
        <v>36273393</v>
      </c>
      <c r="I38" s="81">
        <f t="shared" si="14"/>
        <v>25.65197279906241</v>
      </c>
      <c r="J38" s="71">
        <f t="shared" si="14"/>
        <v>36273393</v>
      </c>
      <c r="K38" s="81">
        <f>J38/141405861*100</f>
        <v>25.65197279906241</v>
      </c>
      <c r="L38" s="71">
        <f>+L17+L19+L37</f>
        <v>0</v>
      </c>
      <c r="M38" s="81">
        <f>+M17+M19+M37</f>
        <v>25.687614886061901</v>
      </c>
      <c r="N38" s="71">
        <f>+N17+N19+N37</f>
        <v>0</v>
      </c>
      <c r="O38" s="81">
        <f>+O17+O19+O37</f>
        <v>0</v>
      </c>
      <c r="P38" s="71" t="e">
        <f>+P37</f>
        <v>#REF!</v>
      </c>
      <c r="Q38" s="71" t="e">
        <f t="shared" ref="Q38" si="15">+Q37</f>
        <v>#REF!</v>
      </c>
      <c r="R38" s="71">
        <f>+R17+R19+R37</f>
        <v>35092641</v>
      </c>
    </row>
  </sheetData>
  <mergeCells count="6">
    <mergeCell ref="J3:K3"/>
    <mergeCell ref="N3:O3"/>
    <mergeCell ref="P3:Q3"/>
    <mergeCell ref="J6:K6"/>
    <mergeCell ref="N6:O6"/>
    <mergeCell ref="P6:Q6"/>
  </mergeCells>
  <pageMargins left="0.27559055118110237" right="0.19685039370078741" top="0.78740157480314965" bottom="0.74803149606299213" header="0.43307086614173229" footer="0.31496062992125984"/>
  <pageSetup paperSize="9" scale="48" orientation="landscape" r:id="rId1"/>
  <headerFooter differentFirst="1">
    <oddHeader>&amp;L&amp;"-,Bold"Shareholding Pattern - Regulation 31 - 
Mukand Ltd.&amp;C&amp;"-,Bold"Scrip Code (BSE)- 500460
Scrip Name (NSE)- MUKANDLTD&amp;R&amp;"-,Bold"Qtr Ended - 31st Dec, 2015</oddHeader>
    <oddFooter>&amp;RPage 5</oddFooter>
    <firstHeader>&amp;L&amp;"-,Bold"Shareholding Pattern - Regulation 31 - 
Mukand Ltd.&amp;C&amp;"-,Bold"Scrip Code (BSE)- 500460
Scrip Name (NSE)- MUKANDLTD&amp;R&amp;"-,Bold"Qtr Ended - 30th Sep, 2019</firstHeader>
    <firstFooter>&amp;RPage 5</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0"/>
  <sheetViews>
    <sheetView zoomScale="70" zoomScaleNormal="70" zoomScalePageLayoutView="70" workbookViewId="0">
      <selection activeCell="M14" sqref="M14"/>
    </sheetView>
  </sheetViews>
  <sheetFormatPr defaultRowHeight="15" x14ac:dyDescent="0.25"/>
  <cols>
    <col min="1" max="1" width="8.85546875" customWidth="1"/>
    <col min="2" max="2" width="41" customWidth="1"/>
    <col min="3" max="3" width="12.7109375" customWidth="1"/>
    <col min="4" max="4" width="11.85546875" customWidth="1"/>
    <col min="5" max="5" width="14.42578125" customWidth="1"/>
    <col min="6" max="6" width="14.85546875" customWidth="1"/>
    <col min="7" max="7" width="13.28515625" customWidth="1"/>
    <col min="8" max="8" width="11.85546875" customWidth="1"/>
    <col min="9" max="9" width="12.42578125" customWidth="1"/>
    <col min="10" max="10" width="11.28515625" customWidth="1"/>
    <col min="11" max="11" width="11.5703125" customWidth="1"/>
    <col min="12" max="12" width="11.140625" customWidth="1"/>
    <col min="13" max="13" width="10.28515625" customWidth="1"/>
    <col min="14" max="14" width="17.42578125" customWidth="1"/>
    <col min="15" max="15" width="19.42578125" customWidth="1"/>
    <col min="16" max="17" width="12.7109375" customWidth="1"/>
    <col min="18" max="18" width="10.85546875" customWidth="1"/>
    <col min="19" max="19" width="10.7109375" customWidth="1"/>
    <col min="20" max="20" width="14.28515625" customWidth="1"/>
  </cols>
  <sheetData>
    <row r="1" spans="1:20" s="5" customFormat="1" ht="15.75" x14ac:dyDescent="0.25">
      <c r="A1" s="5" t="s">
        <v>127</v>
      </c>
    </row>
    <row r="3" spans="1:20" s="4" customFormat="1" ht="123" customHeight="1" x14ac:dyDescent="0.25">
      <c r="A3" s="8" t="s">
        <v>20</v>
      </c>
      <c r="B3" s="8" t="s">
        <v>69</v>
      </c>
      <c r="C3" s="8" t="s">
        <v>70</v>
      </c>
      <c r="D3" s="8" t="s">
        <v>23</v>
      </c>
      <c r="E3" s="8" t="s">
        <v>24</v>
      </c>
      <c r="F3" s="8" t="s">
        <v>25</v>
      </c>
      <c r="G3" s="8" t="s">
        <v>26</v>
      </c>
      <c r="H3" s="8" t="s">
        <v>71</v>
      </c>
      <c r="I3" s="8" t="s">
        <v>72</v>
      </c>
      <c r="J3" s="95" t="s">
        <v>29</v>
      </c>
      <c r="K3" s="95"/>
      <c r="L3" s="95"/>
      <c r="M3" s="95"/>
      <c r="N3" s="8" t="s">
        <v>30</v>
      </c>
      <c r="O3" s="8" t="s">
        <v>31</v>
      </c>
      <c r="P3" s="95" t="s">
        <v>32</v>
      </c>
      <c r="Q3" s="95"/>
      <c r="R3" s="95" t="s">
        <v>33</v>
      </c>
      <c r="S3" s="95"/>
      <c r="T3" s="8" t="s">
        <v>34</v>
      </c>
    </row>
    <row r="4" spans="1:20" s="4" customFormat="1" ht="64.5" customHeight="1" x14ac:dyDescent="0.25">
      <c r="A4" s="9"/>
      <c r="B4" s="9"/>
      <c r="C4" s="9"/>
      <c r="D4" s="9"/>
      <c r="E4" s="9"/>
      <c r="F4" s="9"/>
      <c r="G4" s="9"/>
      <c r="H4" s="9"/>
      <c r="I4" s="9"/>
      <c r="J4" s="96" t="s">
        <v>35</v>
      </c>
      <c r="K4" s="96"/>
      <c r="L4" s="96"/>
      <c r="M4" s="6" t="s">
        <v>36</v>
      </c>
      <c r="N4" s="12"/>
      <c r="O4" s="9"/>
      <c r="P4" s="7" t="s">
        <v>37</v>
      </c>
      <c r="Q4" s="6" t="s">
        <v>38</v>
      </c>
      <c r="R4" s="6" t="s">
        <v>37</v>
      </c>
      <c r="S4" s="6" t="s">
        <v>38</v>
      </c>
      <c r="T4" s="9"/>
    </row>
    <row r="5" spans="1:20" s="4" customFormat="1" x14ac:dyDescent="0.25">
      <c r="A5" s="9"/>
      <c r="B5" s="9"/>
      <c r="C5" s="9"/>
      <c r="D5" s="9"/>
      <c r="E5" s="9"/>
      <c r="F5" s="9"/>
      <c r="G5" s="9"/>
      <c r="H5" s="9"/>
      <c r="I5" s="9"/>
      <c r="J5" s="6" t="s">
        <v>39</v>
      </c>
      <c r="K5" s="6" t="s">
        <v>40</v>
      </c>
      <c r="L5" s="6" t="s">
        <v>41</v>
      </c>
      <c r="M5" s="9"/>
      <c r="N5" s="9"/>
      <c r="O5" s="9"/>
      <c r="P5" s="9"/>
      <c r="Q5" s="9"/>
      <c r="R5" s="9"/>
      <c r="S5" s="9"/>
      <c r="T5" s="9"/>
    </row>
    <row r="6" spans="1:20" s="4" customFormat="1" x14ac:dyDescent="0.25">
      <c r="A6" s="13"/>
      <c r="B6" s="13" t="s">
        <v>42</v>
      </c>
      <c r="C6" s="13" t="s">
        <v>43</v>
      </c>
      <c r="D6" s="13" t="s">
        <v>44</v>
      </c>
      <c r="E6" s="13" t="s">
        <v>45</v>
      </c>
      <c r="F6" s="13" t="s">
        <v>46</v>
      </c>
      <c r="G6" s="13" t="s">
        <v>47</v>
      </c>
      <c r="H6" s="13" t="s">
        <v>48</v>
      </c>
      <c r="I6" s="13" t="s">
        <v>49</v>
      </c>
      <c r="J6" s="97" t="s">
        <v>50</v>
      </c>
      <c r="K6" s="97"/>
      <c r="L6" s="97"/>
      <c r="M6" s="97"/>
      <c r="N6" s="13" t="s">
        <v>51</v>
      </c>
      <c r="O6" s="13" t="s">
        <v>52</v>
      </c>
      <c r="P6" s="97" t="s">
        <v>53</v>
      </c>
      <c r="Q6" s="97"/>
      <c r="R6" s="97" t="s">
        <v>54</v>
      </c>
      <c r="S6" s="97"/>
      <c r="T6" s="13" t="s">
        <v>55</v>
      </c>
    </row>
    <row r="7" spans="1:20" x14ac:dyDescent="0.25">
      <c r="A7" s="3" t="s">
        <v>73</v>
      </c>
      <c r="B7" s="2" t="s">
        <v>128</v>
      </c>
      <c r="C7" s="2"/>
      <c r="D7" s="2">
        <v>0</v>
      </c>
      <c r="E7" s="2">
        <v>0</v>
      </c>
      <c r="F7" s="2">
        <v>0</v>
      </c>
      <c r="G7" s="2">
        <v>0</v>
      </c>
      <c r="H7" s="2">
        <v>0</v>
      </c>
      <c r="I7" s="10">
        <f>SUM(H7/141405861*100)</f>
        <v>0</v>
      </c>
      <c r="J7" s="2">
        <v>0</v>
      </c>
      <c r="K7" s="2">
        <v>0</v>
      </c>
      <c r="L7" s="2">
        <f>+J7+K7</f>
        <v>0</v>
      </c>
      <c r="M7" s="10">
        <f>SUM(L7/141405861*100)</f>
        <v>0</v>
      </c>
      <c r="N7" s="2">
        <v>0</v>
      </c>
      <c r="O7" s="10">
        <f>SUM((H7+N7)/141405861*100)</f>
        <v>0</v>
      </c>
      <c r="P7" s="2">
        <v>0</v>
      </c>
      <c r="Q7" s="10">
        <v>0</v>
      </c>
      <c r="R7" s="2" t="s">
        <v>60</v>
      </c>
      <c r="S7" s="2" t="s">
        <v>60</v>
      </c>
      <c r="T7" s="2">
        <v>0</v>
      </c>
    </row>
    <row r="8" spans="1:20" ht="32.25" customHeight="1" x14ac:dyDescent="0.25">
      <c r="A8" s="3" t="s">
        <v>84</v>
      </c>
      <c r="B8" s="15" t="s">
        <v>129</v>
      </c>
      <c r="C8" s="2"/>
      <c r="D8" s="2">
        <v>0</v>
      </c>
      <c r="E8" s="2">
        <v>0</v>
      </c>
      <c r="F8" s="2">
        <v>0</v>
      </c>
      <c r="G8" s="2">
        <v>0</v>
      </c>
      <c r="H8" s="2">
        <v>0</v>
      </c>
      <c r="I8" s="10">
        <f>SUM(H8/141405861*100)</f>
        <v>0</v>
      </c>
      <c r="J8" s="2">
        <v>0</v>
      </c>
      <c r="K8" s="2">
        <v>0</v>
      </c>
      <c r="L8" s="2">
        <f>+J8+K8</f>
        <v>0</v>
      </c>
      <c r="M8" s="10">
        <f>SUM(L8/141405861*100)</f>
        <v>0</v>
      </c>
      <c r="N8" s="2">
        <v>0</v>
      </c>
      <c r="O8" s="10">
        <f>SUM((H8+N8)/141405861*100)</f>
        <v>0</v>
      </c>
      <c r="P8" s="2">
        <v>0</v>
      </c>
      <c r="Q8" s="10">
        <v>0</v>
      </c>
      <c r="R8" s="2" t="s">
        <v>60</v>
      </c>
      <c r="S8" s="2" t="s">
        <v>60</v>
      </c>
      <c r="T8" s="2">
        <v>0</v>
      </c>
    </row>
    <row r="9" spans="1:20" x14ac:dyDescent="0.25">
      <c r="A9" s="2"/>
      <c r="B9" s="2"/>
      <c r="C9" s="2"/>
      <c r="D9" s="2"/>
      <c r="E9" s="2"/>
      <c r="F9" s="2"/>
      <c r="G9" s="2"/>
      <c r="H9" s="2"/>
      <c r="I9" s="2"/>
      <c r="J9" s="2"/>
      <c r="K9" s="2"/>
      <c r="L9" s="2"/>
      <c r="M9" s="2"/>
      <c r="N9" s="2"/>
      <c r="O9" s="2"/>
      <c r="P9" s="2"/>
      <c r="Q9" s="2"/>
      <c r="R9" s="2"/>
      <c r="S9" s="2"/>
      <c r="T9" s="2"/>
    </row>
    <row r="10" spans="1:20" s="4" customFormat="1" ht="30" x14ac:dyDescent="0.25">
      <c r="A10" s="9"/>
      <c r="B10" s="12" t="s">
        <v>130</v>
      </c>
      <c r="C10" s="9"/>
      <c r="D10" s="9">
        <f t="shared" ref="D10:Q10" si="0">+D7+D8</f>
        <v>0</v>
      </c>
      <c r="E10" s="9">
        <f t="shared" si="0"/>
        <v>0</v>
      </c>
      <c r="F10" s="9">
        <f t="shared" si="0"/>
        <v>0</v>
      </c>
      <c r="G10" s="9">
        <f t="shared" si="0"/>
        <v>0</v>
      </c>
      <c r="H10" s="9">
        <f t="shared" si="0"/>
        <v>0</v>
      </c>
      <c r="I10" s="11">
        <f t="shared" si="0"/>
        <v>0</v>
      </c>
      <c r="J10" s="9">
        <f t="shared" si="0"/>
        <v>0</v>
      </c>
      <c r="K10" s="9">
        <f t="shared" si="0"/>
        <v>0</v>
      </c>
      <c r="L10" s="9">
        <f t="shared" si="0"/>
        <v>0</v>
      </c>
      <c r="M10" s="11">
        <f t="shared" si="0"/>
        <v>0</v>
      </c>
      <c r="N10" s="9">
        <f t="shared" si="0"/>
        <v>0</v>
      </c>
      <c r="O10" s="11">
        <f t="shared" si="0"/>
        <v>0</v>
      </c>
      <c r="P10" s="9">
        <f t="shared" si="0"/>
        <v>0</v>
      </c>
      <c r="Q10" s="11">
        <f t="shared" si="0"/>
        <v>0</v>
      </c>
      <c r="R10" s="9"/>
      <c r="S10" s="9"/>
      <c r="T10" s="9">
        <f>+T7+T8</f>
        <v>0</v>
      </c>
    </row>
  </sheetData>
  <mergeCells count="7">
    <mergeCell ref="J3:M3"/>
    <mergeCell ref="P3:Q3"/>
    <mergeCell ref="R3:S3"/>
    <mergeCell ref="J4:L4"/>
    <mergeCell ref="J6:M6"/>
    <mergeCell ref="P6:Q6"/>
    <mergeCell ref="R6:S6"/>
  </mergeCells>
  <pageMargins left="1.38888888888889E-2" right="0.20833333333333301" top="0.83333333333333304" bottom="0.41666666666666702" header="0.3" footer="0.3"/>
  <pageSetup paperSize="9" scale="50" orientation="landscape" r:id="rId1"/>
  <headerFooter>
    <oddHeader>&amp;L&amp;"-,Bold"Shareholding Pattern - Regulation 31 - 
Mukand Ltd.&amp;C&amp;"-,Bold"Scrip Code (BSE)- 500460
Scrip Name (NSE)- MUKANDLTD&amp;R&amp;"-,Bold"Qtr Ended - 30th Sep, 2019</oddHeader>
    <oddFooter>&amp;RPage 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
  <sheetViews>
    <sheetView zoomScale="70" zoomScaleNormal="70" zoomScaleSheetLayoutView="80" zoomScalePageLayoutView="60" workbookViewId="0">
      <selection activeCell="J17" sqref="J17"/>
    </sheetView>
  </sheetViews>
  <sheetFormatPr defaultRowHeight="15" x14ac:dyDescent="0.25"/>
  <cols>
    <col min="1" max="1" width="10.7109375" style="29" customWidth="1"/>
    <col min="2" max="2" width="41.5703125" style="29" customWidth="1"/>
    <col min="3" max="3" width="15.28515625" style="29" bestFit="1" customWidth="1"/>
    <col min="4" max="8" width="16.7109375" style="29" customWidth="1"/>
    <col min="9" max="9" width="12.7109375" style="29" customWidth="1"/>
    <col min="10" max="10" width="14.28515625" style="29" customWidth="1"/>
    <col min="11" max="11" width="12.7109375" style="29" customWidth="1"/>
    <col min="12" max="13" width="20.7109375" style="29" customWidth="1"/>
    <col min="14" max="14" width="11.28515625" style="29" customWidth="1"/>
    <col min="15" max="15" width="11.140625" style="29" customWidth="1"/>
    <col min="16" max="16" width="11" style="29" customWidth="1"/>
    <col min="17" max="17" width="14.5703125" style="29" customWidth="1"/>
    <col min="18" max="18" width="14" style="29" customWidth="1"/>
    <col min="19" max="16384" width="9.140625" style="29"/>
  </cols>
  <sheetData>
    <row r="1" spans="1:18" s="19" customFormat="1" ht="15.75" x14ac:dyDescent="0.25">
      <c r="A1" s="19" t="s">
        <v>212</v>
      </c>
    </row>
    <row r="3" spans="1:18" s="21" customFormat="1" ht="96.75" customHeight="1" x14ac:dyDescent="0.25">
      <c r="A3" s="20" t="s">
        <v>20</v>
      </c>
      <c r="B3" s="20" t="s">
        <v>69</v>
      </c>
      <c r="C3" s="20" t="s">
        <v>70</v>
      </c>
      <c r="D3" s="20" t="s">
        <v>23</v>
      </c>
      <c r="E3" s="20" t="s">
        <v>24</v>
      </c>
      <c r="F3" s="20" t="s">
        <v>25</v>
      </c>
      <c r="G3" s="20" t="s">
        <v>26</v>
      </c>
      <c r="H3" s="20" t="s">
        <v>71</v>
      </c>
      <c r="I3" s="20" t="s">
        <v>72</v>
      </c>
      <c r="J3" s="98" t="s">
        <v>29</v>
      </c>
      <c r="K3" s="98"/>
      <c r="L3" s="20" t="s">
        <v>30</v>
      </c>
      <c r="M3" s="20" t="s">
        <v>31</v>
      </c>
      <c r="N3" s="98" t="s">
        <v>32</v>
      </c>
      <c r="O3" s="98"/>
      <c r="P3" s="98" t="s">
        <v>33</v>
      </c>
      <c r="Q3" s="98"/>
      <c r="R3" s="20" t="s">
        <v>34</v>
      </c>
    </row>
    <row r="4" spans="1:18" s="21" customFormat="1" ht="67.5" customHeight="1" x14ac:dyDescent="0.25">
      <c r="A4" s="22"/>
      <c r="B4" s="22"/>
      <c r="C4" s="22"/>
      <c r="D4" s="22"/>
      <c r="E4" s="22"/>
      <c r="F4" s="22"/>
      <c r="G4" s="22"/>
      <c r="H4" s="22"/>
      <c r="I4" s="22"/>
      <c r="J4" s="23" t="s">
        <v>35</v>
      </c>
      <c r="K4" s="20" t="s">
        <v>36</v>
      </c>
      <c r="L4" s="24"/>
      <c r="M4" s="22"/>
      <c r="N4" s="25" t="s">
        <v>37</v>
      </c>
      <c r="O4" s="20" t="s">
        <v>38</v>
      </c>
      <c r="P4" s="20" t="s">
        <v>37</v>
      </c>
      <c r="Q4" s="20" t="s">
        <v>38</v>
      </c>
      <c r="R4" s="22"/>
    </row>
    <row r="5" spans="1:18" s="21" customFormat="1" ht="32.25" customHeight="1" x14ac:dyDescent="0.25">
      <c r="A5" s="22"/>
      <c r="B5" s="22"/>
      <c r="C5" s="22"/>
      <c r="D5" s="22"/>
      <c r="E5" s="22"/>
      <c r="F5" s="22"/>
      <c r="G5" s="22"/>
      <c r="H5" s="22"/>
      <c r="I5" s="22"/>
      <c r="J5" s="23" t="s">
        <v>209</v>
      </c>
      <c r="K5" s="22"/>
      <c r="L5" s="22"/>
      <c r="M5" s="22"/>
      <c r="N5" s="22"/>
      <c r="O5" s="22"/>
      <c r="P5" s="22"/>
      <c r="Q5" s="22"/>
      <c r="R5" s="22"/>
    </row>
    <row r="6" spans="1:18" s="21" customFormat="1" x14ac:dyDescent="0.25">
      <c r="A6" s="26"/>
      <c r="B6" s="26" t="s">
        <v>42</v>
      </c>
      <c r="C6" s="26" t="s">
        <v>43</v>
      </c>
      <c r="D6" s="26" t="s">
        <v>44</v>
      </c>
      <c r="E6" s="26" t="s">
        <v>45</v>
      </c>
      <c r="F6" s="26" t="s">
        <v>46</v>
      </c>
      <c r="G6" s="26" t="s">
        <v>47</v>
      </c>
      <c r="H6" s="26" t="s">
        <v>48</v>
      </c>
      <c r="I6" s="26" t="s">
        <v>49</v>
      </c>
      <c r="J6" s="99" t="s">
        <v>50</v>
      </c>
      <c r="K6" s="99"/>
      <c r="L6" s="26" t="s">
        <v>51</v>
      </c>
      <c r="M6" s="26" t="s">
        <v>52</v>
      </c>
      <c r="N6" s="99" t="s">
        <v>53</v>
      </c>
      <c r="O6" s="99"/>
      <c r="P6" s="99" t="s">
        <v>54</v>
      </c>
      <c r="Q6" s="99"/>
      <c r="R6" s="26" t="s">
        <v>55</v>
      </c>
    </row>
    <row r="7" spans="1:18" x14ac:dyDescent="0.25">
      <c r="A7" s="27" t="s">
        <v>73</v>
      </c>
      <c r="B7" s="28" t="s">
        <v>88</v>
      </c>
      <c r="C7" s="28"/>
      <c r="D7" s="28"/>
      <c r="E7" s="28"/>
      <c r="F7" s="28"/>
      <c r="G7" s="28"/>
      <c r="H7" s="28"/>
      <c r="I7" s="28"/>
      <c r="J7" s="28"/>
      <c r="K7" s="28"/>
      <c r="L7" s="28"/>
      <c r="M7" s="28"/>
      <c r="N7" s="28"/>
      <c r="O7" s="28"/>
      <c r="P7" s="28"/>
      <c r="Q7" s="28"/>
      <c r="R7" s="28"/>
    </row>
    <row r="8" spans="1:18" x14ac:dyDescent="0.25">
      <c r="A8" s="30" t="s">
        <v>213</v>
      </c>
      <c r="B8" s="28" t="s">
        <v>101</v>
      </c>
      <c r="C8" s="28" t="s">
        <v>219</v>
      </c>
      <c r="D8" s="28">
        <v>1</v>
      </c>
      <c r="E8" s="28">
        <v>5345785</v>
      </c>
      <c r="F8" s="28">
        <v>0</v>
      </c>
      <c r="G8" s="28">
        <v>0</v>
      </c>
      <c r="H8" s="28">
        <v>5345785</v>
      </c>
      <c r="I8" s="31">
        <f t="shared" ref="I8" si="0">SUM(H8/141405861*100)</f>
        <v>3.7804550406860433</v>
      </c>
      <c r="J8" s="28">
        <v>5345785</v>
      </c>
      <c r="K8" s="31">
        <f t="shared" ref="K8:K12" si="1">J8/141405861*100</f>
        <v>3.7804550406860433</v>
      </c>
      <c r="L8" s="28">
        <v>0</v>
      </c>
      <c r="M8" s="31">
        <f t="shared" ref="M8" si="2">SUM((H8+L8)/141405861*100)</f>
        <v>3.7804550406860433</v>
      </c>
      <c r="N8" s="28">
        <v>0</v>
      </c>
      <c r="O8" s="31">
        <f>SUM(N8/H8*100)</f>
        <v>0</v>
      </c>
      <c r="P8" s="28" t="s">
        <v>60</v>
      </c>
      <c r="Q8" s="28" t="s">
        <v>60</v>
      </c>
      <c r="R8" s="28">
        <v>5345785</v>
      </c>
    </row>
    <row r="9" spans="1:18" ht="30" x14ac:dyDescent="0.25">
      <c r="A9" s="27" t="s">
        <v>84</v>
      </c>
      <c r="B9" s="33" t="s">
        <v>108</v>
      </c>
      <c r="C9" s="28"/>
      <c r="D9" s="28">
        <v>0</v>
      </c>
      <c r="E9" s="28">
        <v>0</v>
      </c>
      <c r="F9" s="28">
        <v>0</v>
      </c>
      <c r="G9" s="28">
        <v>0</v>
      </c>
      <c r="H9" s="28">
        <v>0</v>
      </c>
      <c r="I9" s="31">
        <f>SUM(H9/141405861*100)</f>
        <v>0</v>
      </c>
      <c r="J9" s="28">
        <v>0</v>
      </c>
      <c r="K9" s="31">
        <f t="shared" si="1"/>
        <v>0</v>
      </c>
      <c r="L9" s="28">
        <v>0</v>
      </c>
      <c r="M9" s="31">
        <f>SUM((H9+L9)/141405861*100)</f>
        <v>0</v>
      </c>
      <c r="N9" s="28">
        <v>0</v>
      </c>
      <c r="O9" s="31">
        <v>0</v>
      </c>
      <c r="P9" s="28" t="s">
        <v>60</v>
      </c>
      <c r="Q9" s="28" t="s">
        <v>60</v>
      </c>
      <c r="R9" s="28">
        <v>0</v>
      </c>
    </row>
    <row r="10" spans="1:18" x14ac:dyDescent="0.25">
      <c r="A10" s="27" t="s">
        <v>110</v>
      </c>
      <c r="B10" s="28" t="s">
        <v>111</v>
      </c>
      <c r="C10" s="28"/>
      <c r="D10" s="28"/>
      <c r="E10" s="28"/>
      <c r="F10" s="28"/>
      <c r="G10" s="28"/>
      <c r="H10" s="28"/>
      <c r="I10" s="28"/>
      <c r="J10" s="28"/>
      <c r="K10" s="28">
        <f t="shared" si="1"/>
        <v>0</v>
      </c>
      <c r="L10" s="28"/>
      <c r="M10" s="28"/>
      <c r="N10" s="28"/>
      <c r="O10" s="28"/>
      <c r="P10" s="28"/>
      <c r="Q10" s="28"/>
      <c r="R10" s="28"/>
    </row>
    <row r="11" spans="1:18" x14ac:dyDescent="0.25">
      <c r="A11" s="30" t="s">
        <v>213</v>
      </c>
      <c r="B11" s="28" t="s">
        <v>228</v>
      </c>
      <c r="C11" s="28" t="s">
        <v>220</v>
      </c>
      <c r="D11" s="28">
        <v>1</v>
      </c>
      <c r="E11" s="28">
        <v>3579056</v>
      </c>
      <c r="F11" s="28">
        <v>0</v>
      </c>
      <c r="G11" s="28">
        <v>0</v>
      </c>
      <c r="H11" s="28">
        <v>3579056</v>
      </c>
      <c r="I11" s="31">
        <f t="shared" ref="I11" si="3">SUM(H11/141405861*100)</f>
        <v>2.5310520898423015</v>
      </c>
      <c r="J11" s="28">
        <v>3579056</v>
      </c>
      <c r="K11" s="31">
        <f t="shared" si="1"/>
        <v>2.5310520898423015</v>
      </c>
      <c r="L11" s="28">
        <v>0</v>
      </c>
      <c r="M11" s="31">
        <f t="shared" ref="M11" si="4">SUM((H11+L11)/141405861*100)</f>
        <v>2.5310520898423015</v>
      </c>
      <c r="N11" s="28">
        <v>0</v>
      </c>
      <c r="O11" s="31">
        <v>0</v>
      </c>
      <c r="P11" s="28" t="s">
        <v>60</v>
      </c>
      <c r="Q11" s="28" t="s">
        <v>60</v>
      </c>
      <c r="R11" s="28">
        <v>3579056</v>
      </c>
    </row>
    <row r="12" spans="1:18" s="21" customFormat="1" x14ac:dyDescent="0.25">
      <c r="A12" s="22"/>
      <c r="B12" s="24" t="s">
        <v>214</v>
      </c>
      <c r="C12" s="22"/>
      <c r="D12" s="22">
        <f>SUM(D8,D11)</f>
        <v>2</v>
      </c>
      <c r="E12" s="22">
        <f>SUM(E8:E11)</f>
        <v>8924841</v>
      </c>
      <c r="F12" s="22">
        <f>SUM(F8:F11)</f>
        <v>0</v>
      </c>
      <c r="G12" s="22">
        <f>SUM(G8:G11)</f>
        <v>0</v>
      </c>
      <c r="H12" s="22">
        <f>SUM(H8:H11)</f>
        <v>8924841</v>
      </c>
      <c r="I12" s="32">
        <f>(H12/141405861)*100</f>
        <v>6.3115071305283443</v>
      </c>
      <c r="J12" s="22">
        <f>SUM(J8:J11)</f>
        <v>8924841</v>
      </c>
      <c r="K12" s="32">
        <f t="shared" si="1"/>
        <v>6.3115071305283443</v>
      </c>
      <c r="L12" s="22">
        <f>SUM(L8:L11)</f>
        <v>0</v>
      </c>
      <c r="M12" s="32">
        <f>(J12/141405861)*100</f>
        <v>6.3115071305283443</v>
      </c>
      <c r="N12" s="22">
        <f>SUM(N8:N11)</f>
        <v>0</v>
      </c>
      <c r="O12" s="32">
        <f>SUM(O8:O11)</f>
        <v>0</v>
      </c>
      <c r="P12" s="22" t="s">
        <v>60</v>
      </c>
      <c r="Q12" s="22" t="s">
        <v>60</v>
      </c>
      <c r="R12" s="22">
        <f>SUM(R8:R11)</f>
        <v>8924841</v>
      </c>
    </row>
  </sheetData>
  <mergeCells count="6">
    <mergeCell ref="J3:K3"/>
    <mergeCell ref="N3:O3"/>
    <mergeCell ref="P3:Q3"/>
    <mergeCell ref="J6:K6"/>
    <mergeCell ref="N6:O6"/>
    <mergeCell ref="P6:Q6"/>
  </mergeCells>
  <pageMargins left="0.23622047244094491" right="0.19685039370078741" top="0.78740157480314965" bottom="0.74803149606299213" header="0.43307086614173229" footer="0.31496062992125984"/>
  <pageSetup paperSize="9" scale="48" orientation="landscape" r:id="rId1"/>
  <headerFooter>
    <oddHeader>&amp;L&amp;"-,Bold"Shareholding Pattern - Regulation 31 - 
Mukand Ltd.&amp;C&amp;"-,Bold"Scrip Code (BSE)- 500460
Scrip Name (NSE)- MUKANDLTD&amp;R&amp;"-,Bold"Qtr Ended - 30th Sep, 2019</oddHeader>
    <oddFooter>&amp;RPage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TABLE-I</vt:lpstr>
      <vt:lpstr>TABLE-II</vt:lpstr>
      <vt:lpstr>TABLE-III</vt:lpstr>
      <vt:lpstr>TABLE-IV</vt:lpstr>
      <vt:lpstr>1% and above</vt:lpstr>
      <vt:lpstr>'TABLE-II'!Print_Area</vt:lpstr>
      <vt:lpstr>Summary!Print_Titles</vt:lpstr>
      <vt:lpstr>'TABLE-II'!Print_Titles</vt:lpstr>
      <vt:lpstr>'TABLE-IV'!Print_Titles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mohsin.mohd</dc:creator>
  <cp:lastModifiedBy>K J. Mallya</cp:lastModifiedBy>
  <cp:lastPrinted>2020-01-17T08:56:57Z</cp:lastPrinted>
  <dcterms:created xsi:type="dcterms:W3CDTF">2016-01-08T06:21:03Z</dcterms:created>
  <dcterms:modified xsi:type="dcterms:W3CDTF">2020-01-30T07:41:25Z</dcterms:modified>
</cp:coreProperties>
</file>