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55" yWindow="1155" windowWidth="17280" windowHeight="8970" activeTab="2"/>
  </bookViews>
  <sheets>
    <sheet name="Summary" sheetId="1" r:id="rId1"/>
    <sheet name="TABLE-I" sheetId="2" r:id="rId2"/>
    <sheet name="TABLE-II" sheetId="3" r:id="rId3"/>
    <sheet name="TABLE-III" sheetId="4" r:id="rId4"/>
    <sheet name="TABLE-IV" sheetId="5" r:id="rId5"/>
    <sheet name="1% and above" sheetId="7" r:id="rId6"/>
  </sheets>
  <definedNames>
    <definedName name="_xlnm.Print_Area" localSheetId="2">'TABLE-II'!$A$1:$R$73</definedName>
    <definedName name="_xlnm.Print_Titles" localSheetId="0">Summary!$5:$7</definedName>
    <definedName name="_xlnm.Print_Titles" localSheetId="2">'TABLE-II'!$1:$6</definedName>
    <definedName name="_xlnm.Print_Titles" localSheetId="4">'TABLE-IV'!$4:$6</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3" i="3"/>
  <c r="J33"/>
  <c r="E33"/>
  <c r="R35"/>
  <c r="J35"/>
  <c r="E35"/>
  <c r="P37" i="4" l="1"/>
  <c r="P38" s="1"/>
  <c r="E56" i="3" l="1"/>
  <c r="E11"/>
  <c r="E36"/>
  <c r="H37" i="4" l="1"/>
  <c r="E37"/>
  <c r="K35" l="1"/>
  <c r="M23"/>
  <c r="M19" s="1"/>
  <c r="J58" i="3" l="1"/>
  <c r="K58" s="1"/>
  <c r="I34" i="4"/>
  <c r="E37" i="3" l="1"/>
  <c r="H56"/>
  <c r="E12"/>
  <c r="E58" l="1"/>
  <c r="R37" i="4"/>
  <c r="J37"/>
  <c r="K37" s="1"/>
  <c r="D37"/>
  <c r="M36"/>
  <c r="K36"/>
  <c r="I36"/>
  <c r="Q49" i="3" l="1"/>
  <c r="D12" i="7" l="1"/>
  <c r="D17" i="4" l="1"/>
  <c r="P58" i="3" l="1"/>
  <c r="Q57" l="1"/>
  <c r="K57"/>
  <c r="H57"/>
  <c r="M57" s="1"/>
  <c r="Q50"/>
  <c r="K50"/>
  <c r="H50"/>
  <c r="M50" s="1"/>
  <c r="R58"/>
  <c r="H17" i="4"/>
  <c r="K49" i="3"/>
  <c r="Q12"/>
  <c r="R12" i="7"/>
  <c r="J12"/>
  <c r="M12" s="1"/>
  <c r="H12"/>
  <c r="I12" s="1"/>
  <c r="E12"/>
  <c r="R17" i="4"/>
  <c r="L17"/>
  <c r="J17"/>
  <c r="K17" s="1"/>
  <c r="E17"/>
  <c r="Q37"/>
  <c r="Q38" s="1"/>
  <c r="O17"/>
  <c r="N17"/>
  <c r="G17"/>
  <c r="F17"/>
  <c r="M16"/>
  <c r="K16"/>
  <c r="I16"/>
  <c r="N37"/>
  <c r="O37"/>
  <c r="L37"/>
  <c r="G37"/>
  <c r="F37"/>
  <c r="N12" i="7"/>
  <c r="L12"/>
  <c r="G12"/>
  <c r="F12"/>
  <c r="I9"/>
  <c r="K9"/>
  <c r="M9"/>
  <c r="M11"/>
  <c r="K11"/>
  <c r="I11"/>
  <c r="K10"/>
  <c r="O8"/>
  <c r="O12" s="1"/>
  <c r="M8"/>
  <c r="K8"/>
  <c r="I8"/>
  <c r="Q38" i="3"/>
  <c r="Q25"/>
  <c r="Q24"/>
  <c r="Q23"/>
  <c r="Q22"/>
  <c r="Q11"/>
  <c r="Q31"/>
  <c r="Q26"/>
  <c r="Q28"/>
  <c r="Q20"/>
  <c r="Q21"/>
  <c r="Q19"/>
  <c r="Q32"/>
  <c r="Q33"/>
  <c r="Q34"/>
  <c r="Q35"/>
  <c r="Q36"/>
  <c r="Q37"/>
  <c r="Q40"/>
  <c r="Q41"/>
  <c r="Q42"/>
  <c r="Q43"/>
  <c r="Q44"/>
  <c r="Q45"/>
  <c r="Q46"/>
  <c r="Q47"/>
  <c r="Q48"/>
  <c r="Q54"/>
  <c r="Q55"/>
  <c r="Q56"/>
  <c r="Q13"/>
  <c r="Q14"/>
  <c r="Q15"/>
  <c r="Q16"/>
  <c r="Q17"/>
  <c r="Q18"/>
  <c r="Q9"/>
  <c r="Q10"/>
  <c r="M58"/>
  <c r="K34" i="4"/>
  <c r="K33"/>
  <c r="K32"/>
  <c r="K31"/>
  <c r="K30"/>
  <c r="K29"/>
  <c r="K28"/>
  <c r="K27"/>
  <c r="K26"/>
  <c r="K25"/>
  <c r="K24"/>
  <c r="K23"/>
  <c r="K22"/>
  <c r="K21"/>
  <c r="K20"/>
  <c r="K18"/>
  <c r="K15"/>
  <c r="K14"/>
  <c r="K13"/>
  <c r="K12"/>
  <c r="K11"/>
  <c r="K10"/>
  <c r="K9"/>
  <c r="K8"/>
  <c r="J13" i="2"/>
  <c r="J12"/>
  <c r="Q64" i="3"/>
  <c r="Q63"/>
  <c r="Q62"/>
  <c r="Q61"/>
  <c r="Q60"/>
  <c r="H11"/>
  <c r="I11" s="1"/>
  <c r="K56"/>
  <c r="K55"/>
  <c r="H55"/>
  <c r="M55" s="1"/>
  <c r="K63"/>
  <c r="K64"/>
  <c r="K61"/>
  <c r="K62"/>
  <c r="K60"/>
  <c r="K48"/>
  <c r="K47"/>
  <c r="K46"/>
  <c r="K45"/>
  <c r="K44"/>
  <c r="K43"/>
  <c r="K42"/>
  <c r="K41"/>
  <c r="K40"/>
  <c r="K38"/>
  <c r="K37"/>
  <c r="K36"/>
  <c r="K35"/>
  <c r="K34"/>
  <c r="K33"/>
  <c r="K32"/>
  <c r="K31"/>
  <c r="K28"/>
  <c r="K27"/>
  <c r="K26"/>
  <c r="K25"/>
  <c r="K24"/>
  <c r="K23"/>
  <c r="K22"/>
  <c r="K21"/>
  <c r="K20"/>
  <c r="K19"/>
  <c r="K18"/>
  <c r="K17"/>
  <c r="K16"/>
  <c r="K15"/>
  <c r="K14"/>
  <c r="K13"/>
  <c r="K12"/>
  <c r="K11"/>
  <c r="K10"/>
  <c r="K9"/>
  <c r="H48"/>
  <c r="I48" s="1"/>
  <c r="H47"/>
  <c r="I47" s="1"/>
  <c r="H46"/>
  <c r="I46" s="1"/>
  <c r="H45"/>
  <c r="I45" s="1"/>
  <c r="H44"/>
  <c r="I44" s="1"/>
  <c r="H43"/>
  <c r="I43" s="1"/>
  <c r="H42"/>
  <c r="I42" s="1"/>
  <c r="H41"/>
  <c r="I41" s="1"/>
  <c r="H40"/>
  <c r="I40" s="1"/>
  <c r="H39"/>
  <c r="I39" s="1"/>
  <c r="H38"/>
  <c r="I38" s="1"/>
  <c r="H37"/>
  <c r="H36"/>
  <c r="I36" s="1"/>
  <c r="H35"/>
  <c r="I35" s="1"/>
  <c r="H34"/>
  <c r="I34" s="1"/>
  <c r="H33"/>
  <c r="I33" s="1"/>
  <c r="H32"/>
  <c r="I32" s="1"/>
  <c r="H31"/>
  <c r="I31" s="1"/>
  <c r="H28"/>
  <c r="I28" s="1"/>
  <c r="H27"/>
  <c r="I27" s="1"/>
  <c r="H10"/>
  <c r="I10" s="1"/>
  <c r="H12"/>
  <c r="I12" s="1"/>
  <c r="H13"/>
  <c r="I13" s="1"/>
  <c r="H14"/>
  <c r="I14" s="1"/>
  <c r="H15"/>
  <c r="I15" s="1"/>
  <c r="H16"/>
  <c r="I16" s="1"/>
  <c r="H17"/>
  <c r="I17" s="1"/>
  <c r="H18"/>
  <c r="I18" s="1"/>
  <c r="H19"/>
  <c r="I19" s="1"/>
  <c r="H20"/>
  <c r="I20" s="1"/>
  <c r="H21"/>
  <c r="I21" s="1"/>
  <c r="H22"/>
  <c r="I22" s="1"/>
  <c r="H23"/>
  <c r="I23" s="1"/>
  <c r="H24"/>
  <c r="I24" s="1"/>
  <c r="H25"/>
  <c r="I25" s="1"/>
  <c r="H26"/>
  <c r="I26" s="1"/>
  <c r="H9"/>
  <c r="I9" s="1"/>
  <c r="A32"/>
  <c r="A33" s="1"/>
  <c r="A34" s="1"/>
  <c r="A35" s="1"/>
  <c r="A36" s="1"/>
  <c r="A37" s="1"/>
  <c r="A38" s="1"/>
  <c r="A10"/>
  <c r="T10" i="5"/>
  <c r="Q10"/>
  <c r="P10"/>
  <c r="N10"/>
  <c r="K10"/>
  <c r="J10"/>
  <c r="H10"/>
  <c r="G10"/>
  <c r="F10"/>
  <c r="E10"/>
  <c r="D10"/>
  <c r="O8"/>
  <c r="L8"/>
  <c r="M8" s="1"/>
  <c r="I8"/>
  <c r="O7"/>
  <c r="L7"/>
  <c r="I7"/>
  <c r="M35" i="4"/>
  <c r="I35"/>
  <c r="M34"/>
  <c r="M33"/>
  <c r="I33"/>
  <c r="M32"/>
  <c r="I32"/>
  <c r="M31"/>
  <c r="I31"/>
  <c r="M30"/>
  <c r="I30"/>
  <c r="M29"/>
  <c r="I29"/>
  <c r="M28"/>
  <c r="I28"/>
  <c r="M27"/>
  <c r="I27"/>
  <c r="M25"/>
  <c r="I25"/>
  <c r="M24"/>
  <c r="I24"/>
  <c r="I23"/>
  <c r="M22"/>
  <c r="I22"/>
  <c r="M21"/>
  <c r="I21"/>
  <c r="R19"/>
  <c r="Q19"/>
  <c r="P19"/>
  <c r="O19"/>
  <c r="N19"/>
  <c r="L19"/>
  <c r="J19"/>
  <c r="K19" s="1"/>
  <c r="H19"/>
  <c r="G19"/>
  <c r="F19"/>
  <c r="E19"/>
  <c r="D19"/>
  <c r="M18"/>
  <c r="I18"/>
  <c r="I19" s="1"/>
  <c r="M15"/>
  <c r="I15"/>
  <c r="M14"/>
  <c r="I14"/>
  <c r="M13"/>
  <c r="I13"/>
  <c r="M12"/>
  <c r="I12"/>
  <c r="M11"/>
  <c r="I11"/>
  <c r="M10"/>
  <c r="I10"/>
  <c r="M9"/>
  <c r="I9"/>
  <c r="M8"/>
  <c r="I8"/>
  <c r="R65" i="3"/>
  <c r="P65"/>
  <c r="O65"/>
  <c r="N65"/>
  <c r="L65"/>
  <c r="J65"/>
  <c r="H65"/>
  <c r="G65"/>
  <c r="F65"/>
  <c r="E65"/>
  <c r="D65"/>
  <c r="D66" s="1"/>
  <c r="C9" i="2" s="1"/>
  <c r="M64" i="3"/>
  <c r="I64"/>
  <c r="M63"/>
  <c r="I63"/>
  <c r="M62"/>
  <c r="I62"/>
  <c r="M61"/>
  <c r="I61"/>
  <c r="M60"/>
  <c r="I60"/>
  <c r="O58"/>
  <c r="N58"/>
  <c r="L58"/>
  <c r="G58"/>
  <c r="F58"/>
  <c r="M15" i="2"/>
  <c r="K15"/>
  <c r="F15"/>
  <c r="E15"/>
  <c r="L13"/>
  <c r="H13"/>
  <c r="N10"/>
  <c r="N9"/>
  <c r="F66" i="3" l="1"/>
  <c r="H38" i="4"/>
  <c r="G10" i="2" s="1"/>
  <c r="H10" s="1"/>
  <c r="A40" i="3"/>
  <c r="A41" s="1"/>
  <c r="A42" s="1"/>
  <c r="A43" s="1"/>
  <c r="A44" s="1"/>
  <c r="A45" s="1"/>
  <c r="A46" s="1"/>
  <c r="A47" s="1"/>
  <c r="A48" s="1"/>
  <c r="K12" i="7"/>
  <c r="N66" i="3"/>
  <c r="M37" i="4"/>
  <c r="I37"/>
  <c r="I10" i="5"/>
  <c r="I57" i="3"/>
  <c r="L10" i="5"/>
  <c r="O10"/>
  <c r="Q65" i="3"/>
  <c r="D38" i="4"/>
  <c r="I37" i="3"/>
  <c r="O66"/>
  <c r="I50"/>
  <c r="G66"/>
  <c r="R66"/>
  <c r="Q9" i="2" s="1"/>
  <c r="Q58" i="3"/>
  <c r="L66"/>
  <c r="M28"/>
  <c r="M7" i="5"/>
  <c r="M10" s="1"/>
  <c r="E38" i="4"/>
  <c r="J38"/>
  <c r="K38" s="1"/>
  <c r="M17"/>
  <c r="I17"/>
  <c r="H49" i="3"/>
  <c r="H58" s="1"/>
  <c r="I58" s="1"/>
  <c r="R38" i="4"/>
  <c r="J66" i="3"/>
  <c r="I9" i="2" s="1"/>
  <c r="M27" i="3"/>
  <c r="G38" i="4"/>
  <c r="N38"/>
  <c r="F38"/>
  <c r="L38"/>
  <c r="O38"/>
  <c r="P66" i="3"/>
  <c r="O9" i="2" s="1"/>
  <c r="A11" i="3"/>
  <c r="A12" s="1"/>
  <c r="A13" s="1"/>
  <c r="A14" s="1"/>
  <c r="A15" s="1"/>
  <c r="A16" s="1"/>
  <c r="A17" s="1"/>
  <c r="A18" s="1"/>
  <c r="A19" s="1"/>
  <c r="A20" s="1"/>
  <c r="A21" s="1"/>
  <c r="I56"/>
  <c r="M56"/>
  <c r="I55"/>
  <c r="M9"/>
  <c r="M33"/>
  <c r="M34"/>
  <c r="M35"/>
  <c r="M36"/>
  <c r="M37"/>
  <c r="M38"/>
  <c r="M39"/>
  <c r="M40"/>
  <c r="M41"/>
  <c r="M42"/>
  <c r="M43"/>
  <c r="M44"/>
  <c r="M45"/>
  <c r="M46"/>
  <c r="M47"/>
  <c r="M48"/>
  <c r="M31"/>
  <c r="M32"/>
  <c r="E66"/>
  <c r="D9" i="2" s="1"/>
  <c r="M10" i="3"/>
  <c r="M12"/>
  <c r="M14"/>
  <c r="M16"/>
  <c r="M18"/>
  <c r="M20"/>
  <c r="M23"/>
  <c r="M25"/>
  <c r="M11"/>
  <c r="M13"/>
  <c r="M15"/>
  <c r="M17"/>
  <c r="M19"/>
  <c r="M21"/>
  <c r="M22"/>
  <c r="M24"/>
  <c r="M26"/>
  <c r="I65"/>
  <c r="M65"/>
  <c r="M66" s="1"/>
  <c r="K65"/>
  <c r="Q10" i="2" l="1"/>
  <c r="Q15" s="1"/>
  <c r="C10"/>
  <c r="C15" s="1"/>
  <c r="A22" i="3"/>
  <c r="A23" s="1"/>
  <c r="A24" s="1"/>
  <c r="A25" s="1"/>
  <c r="A26" s="1"/>
  <c r="I66"/>
  <c r="D10" i="2"/>
  <c r="D15" s="1"/>
  <c r="P15" s="1"/>
  <c r="M38" i="4"/>
  <c r="I38"/>
  <c r="M49" i="3"/>
  <c r="I49"/>
  <c r="H66"/>
  <c r="G9" i="2" s="1"/>
  <c r="H9" s="1"/>
  <c r="H15" s="1"/>
  <c r="L10"/>
  <c r="I10"/>
  <c r="J10" s="1"/>
  <c r="J9"/>
  <c r="P9"/>
  <c r="O15"/>
  <c r="Q66" i="3"/>
  <c r="K66"/>
  <c r="L9" i="2" l="1"/>
  <c r="L15" s="1"/>
  <c r="G15"/>
  <c r="N15" s="1"/>
  <c r="J15"/>
  <c r="I15"/>
</calcChain>
</file>

<file path=xl/sharedStrings.xml><?xml version="1.0" encoding="utf-8"?>
<sst xmlns="http://schemas.openxmlformats.org/spreadsheetml/2006/main" count="481" uniqueCount="234">
  <si>
    <t>1.</t>
  </si>
  <si>
    <t>2.</t>
  </si>
  <si>
    <t>3.</t>
  </si>
  <si>
    <t>4.</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</si>
  <si>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</si>
  <si>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</si>
  <si>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</si>
  <si>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</si>
  <si>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</si>
  <si>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</si>
  <si>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</si>
  <si>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</si>
  <si>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</si>
  <si>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</si>
  <si>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</si>
  <si>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Whethere the Listed Entity has any shares in locked-in?</t>
  </si>
  <si>
    <t>e</t>
  </si>
  <si>
    <t>Whethere any shares held by promoters are pledge or otherwise encumbered?</t>
  </si>
  <si>
    <t>5</t>
  </si>
  <si>
    <t>The tabular format for disclosure of holding of specified securities is as follows:</t>
  </si>
  <si>
    <t xml:space="preserve">Category </t>
  </si>
  <si>
    <t>Table I - Summary Statement holding of specified securities</t>
  </si>
  <si>
    <t>Category of Shareholder</t>
  </si>
  <si>
    <t>No of Shareholders</t>
  </si>
  <si>
    <t>No of fully paid up equity shares held</t>
  </si>
  <si>
    <t>No of Partly paid-up equity shares held</t>
  </si>
  <si>
    <t>No of Shares Underlying Depository Receipts</t>
  </si>
  <si>
    <t>Total No of Shares Held</t>
  </si>
  <si>
    <t>Shareholding as a % of total no of shares</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</si>
  <si>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</si>
  <si>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</si>
  <si>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</si>
  <si>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</si>
  <si>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</si>
  <si>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</si>
  <si>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</si>
  <si>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</si>
  <si>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</si>
  <si>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</si>
  <si>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</si>
  <si>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</si>
  <si>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</si>
  <si>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</si>
  <si>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</si>
  <si>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</si>
  <si>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</si>
  <si>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</si>
  <si>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</si>
  <si>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</si>
  <si>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</si>
  <si>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</si>
  <si>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</si>
  <si>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</si>
  <si>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</si>
  <si>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</si>
  <si>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</si>
  <si>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</si>
  <si>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</si>
  <si>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</si>
  <si>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</si>
  <si>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</si>
  <si>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</si>
  <si>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</si>
  <si>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</si>
  <si>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</si>
  <si>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</si>
  <si>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</si>
  <si>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</si>
  <si>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</si>
  <si>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</si>
  <si>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</si>
  <si>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</si>
  <si>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</si>
  <si>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</si>
  <si>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</si>
  <si>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</si>
  <si>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</si>
  <si>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</si>
  <si>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</si>
  <si>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</si>
  <si>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</si>
  <si>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</si>
  <si>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</si>
  <si>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</si>
  <si>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</si>
  <si>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</si>
  <si>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</si>
  <si>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</si>
  <si>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</si>
  <si>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</si>
  <si>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</si>
  <si>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</si>
  <si>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</si>
  <si>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</si>
  <si>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</si>
  <si>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Mutual Funds</t>
  </si>
  <si>
    <t>Venture Capital Funds</t>
  </si>
  <si>
    <t>Alternate Investment Funds</t>
  </si>
  <si>
    <t>Foreign Venture Capital Investors</t>
  </si>
  <si>
    <t>Foreign Portfolio Investors</t>
  </si>
  <si>
    <t>(f)</t>
  </si>
  <si>
    <t xml:space="preserve">LIFE INSURANCE CORPORATION OF INDIA                                                                                                                   </t>
  </si>
  <si>
    <t>(g)</t>
  </si>
  <si>
    <t>Insurance Companies</t>
  </si>
  <si>
    <t>(h)</t>
  </si>
  <si>
    <t>Provident Funds/Pension Funds</t>
  </si>
  <si>
    <t>(i)</t>
  </si>
  <si>
    <t>Sub Total (B)(1)</t>
  </si>
  <si>
    <t>Central Government/State Government(s)/President of India</t>
  </si>
  <si>
    <t>Sub Total (B)(2)</t>
  </si>
  <si>
    <t>(3)</t>
  </si>
  <si>
    <t>Non-Institutions</t>
  </si>
  <si>
    <t>i.Individual shareholders holding nominal share capital up to Rs.2 lakhs</t>
  </si>
  <si>
    <t>ii.Individual shareholders holding nominal share capital in excess of Rs. 2 Lakhs</t>
  </si>
  <si>
    <t>NBFCs Registered with RBI</t>
  </si>
  <si>
    <t>Employee Trusts</t>
  </si>
  <si>
    <t>Overseas Depositories (Holding DRs)(Balancing figure)</t>
  </si>
  <si>
    <t xml:space="preserve">TRUSTS                                            </t>
  </si>
  <si>
    <t xml:space="preserve">NRI-REPATRIABLE                                   </t>
  </si>
  <si>
    <t xml:space="preserve">NON-RESIDENT (OTHERS)                             </t>
  </si>
  <si>
    <t xml:space="preserve">NON RESIDENT INDIANS                              </t>
  </si>
  <si>
    <t xml:space="preserve">CLEARING MEMBERS                                  </t>
  </si>
  <si>
    <t xml:space="preserve">OTHER SCHEDULED BANKS                             </t>
  </si>
  <si>
    <t xml:space="preserve">NON RESIDENT INDIAN NON REPATRIABLE               </t>
  </si>
  <si>
    <t xml:space="preserve">BODIES CORPORATES                                 </t>
  </si>
  <si>
    <t>Sub Total (B)(3)</t>
  </si>
  <si>
    <t>Total Public Shareholding (B) = (B)(1)+(B)(2)+(B)(3)</t>
  </si>
  <si>
    <t>Table IV - Statement showing shareholding pattern of the Non Promoter - Non Public Shareholder</t>
  </si>
  <si>
    <t>Custodian/DR Holder</t>
  </si>
  <si>
    <t>Employee Benefit Trust (under SEBI(Share based Employee Benefit) Regulations 2014)</t>
  </si>
  <si>
    <t>Total Non-Promoter-Non Public Shareholding (C) = (C)(1)+(C)(2)</t>
  </si>
  <si>
    <t>Share Holding Pattern Filed under: Reg.31(1)(b)</t>
  </si>
  <si>
    <r>
      <t xml:space="preserve">Scrip Code/Name of Scrip/Class of Security:  a) Scrip Code (BSE): </t>
    </r>
    <r>
      <rPr>
        <b/>
        <sz val="11"/>
        <color theme="1"/>
        <rFont val="Calibri"/>
        <family val="2"/>
        <scheme val="minor"/>
      </rPr>
      <t>500460</t>
    </r>
    <r>
      <rPr>
        <sz val="11"/>
        <color theme="1"/>
        <rFont val="Calibri"/>
        <family val="2"/>
        <scheme val="minor"/>
      </rPr>
      <t xml:space="preserve">; b) Scrip Name (NSE): </t>
    </r>
    <r>
      <rPr>
        <b/>
        <sz val="11"/>
        <color theme="1"/>
        <rFont val="Calibri"/>
        <family val="2"/>
        <scheme val="minor"/>
      </rPr>
      <t>MUKANDLTD</t>
    </r>
  </si>
  <si>
    <t>Shri Rahul Bajaj</t>
  </si>
  <si>
    <t>Shri Niraj Bajaj</t>
  </si>
  <si>
    <t>Shri Rajesh V Shah</t>
  </si>
  <si>
    <t>Shri Sanjivnayan Bajaj</t>
  </si>
  <si>
    <t>Shri Shekhar Bajaj</t>
  </si>
  <si>
    <t>Shri Madhur Bajaj</t>
  </si>
  <si>
    <t>Smt Minal Bajaj</t>
  </si>
  <si>
    <t>Smt Sunaina Kejriwal</t>
  </si>
  <si>
    <t>Smt Suman Jain</t>
  </si>
  <si>
    <t>Smt Anjana Viren Shah ( Nee Anjana Munsif )</t>
  </si>
  <si>
    <t>Shri Narendrakumar J Shah</t>
  </si>
  <si>
    <t xml:space="preserve">Smt Bansri Rajesh Shah </t>
  </si>
  <si>
    <t>Smt Czaee Sukumar Shah</t>
  </si>
  <si>
    <t>Priyaradhika Rajesh Shah</t>
  </si>
  <si>
    <t>Shri Kaustubh Rajesh Shah</t>
  </si>
  <si>
    <t xml:space="preserve">Shri Rishabh Sukumar Vir </t>
  </si>
  <si>
    <t>AABPB4242J</t>
  </si>
  <si>
    <t>ACJPB6302K</t>
  </si>
  <si>
    <t>ACJPB6315N</t>
  </si>
  <si>
    <t>ACJPB6301L</t>
  </si>
  <si>
    <t>ABUPB2988F</t>
  </si>
  <si>
    <t>ACJPB6306P</t>
  </si>
  <si>
    <t>ABUPB2990D</t>
  </si>
  <si>
    <t>ADWPK2432P</t>
  </si>
  <si>
    <t>AFJPM0518H</t>
  </si>
  <si>
    <t>AADPS5948N</t>
  </si>
  <si>
    <t>AAQPS5486G</t>
  </si>
  <si>
    <t>AAFPS3722A</t>
  </si>
  <si>
    <t>AQPPS1763F</t>
  </si>
  <si>
    <t>AUBPS0330G</t>
  </si>
  <si>
    <t>ABVPJ9074H</t>
  </si>
  <si>
    <t>ADZPV5090R</t>
  </si>
  <si>
    <t>Akhil Investments &amp; Traders Pvt Ltd</t>
  </si>
  <si>
    <t>Bachhraj &amp; Co Pvt Ltd</t>
  </si>
  <si>
    <t>Bachhraj Factories Pvt Ltd</t>
  </si>
  <si>
    <t>Bajaj Holdings &amp; Investment Ltd</t>
  </si>
  <si>
    <t>Bajaj Sevashram Pvt Ltd</t>
  </si>
  <si>
    <t>Baroda Industries Pvt Ltd</t>
  </si>
  <si>
    <t>Jamnalal Sons Pvt Ltd</t>
  </si>
  <si>
    <t xml:space="preserve">Jeewan Limited </t>
  </si>
  <si>
    <t>Mukand Engineers Ltd</t>
  </si>
  <si>
    <t>Niraj Holdings Pvt Ltd</t>
  </si>
  <si>
    <t>Kamalnayan Investment &amp; Trading  Pvt Ltd</t>
  </si>
  <si>
    <t>Madhur Securities Pvt Ltd</t>
  </si>
  <si>
    <t>Rahul Securities Pvt Ltd</t>
  </si>
  <si>
    <t>Rupa Equities Private Limited</t>
  </si>
  <si>
    <t>Sanraj Nayan Investments  Pvt Ltd</t>
  </si>
  <si>
    <t>Shekhar Holdings Pvt Ltd</t>
  </si>
  <si>
    <t>Sidya Investments Ltd</t>
  </si>
  <si>
    <t>Valiant Investments &amp; Trades Pvt Ltd</t>
  </si>
  <si>
    <t>AAACA4664P</t>
  </si>
  <si>
    <t>AAACB5589N</t>
  </si>
  <si>
    <t>AAACB4654N</t>
  </si>
  <si>
    <t>AAACB3370K</t>
  </si>
  <si>
    <t>AADCB2301D</t>
  </si>
  <si>
    <t>AAACB2428A</t>
  </si>
  <si>
    <t>AAACJ3176H</t>
  </si>
  <si>
    <t>AAACJ1656Q</t>
  </si>
  <si>
    <t xml:space="preserve">AAACM4974G </t>
  </si>
  <si>
    <t>AAACN5095P</t>
  </si>
  <si>
    <t>AAACK2177P</t>
  </si>
  <si>
    <t>AAACM3719R</t>
  </si>
  <si>
    <t>AAACR3945E</t>
  </si>
  <si>
    <t>AAACS7520E</t>
  </si>
  <si>
    <t>AAMCS1380A</t>
  </si>
  <si>
    <t>AAECS5871J</t>
  </si>
  <si>
    <t>AAACS5298M</t>
  </si>
  <si>
    <t>AAACV1473H</t>
  </si>
  <si>
    <t>(*) The term “encumbrance” has the same meaning as assigned to it in regulation 28(3) of the SAST Regulations, 2011</t>
  </si>
  <si>
    <t>Body Corporate</t>
  </si>
  <si>
    <t>Trusts</t>
  </si>
  <si>
    <t>AAATJ0268P</t>
  </si>
  <si>
    <t>AAATN1019L</t>
  </si>
  <si>
    <t>AADPS3254M</t>
  </si>
  <si>
    <t>AADPS3255L</t>
  </si>
  <si>
    <t>Shri Niraj Bajaj (A/c Niravnayan Trust)</t>
  </si>
  <si>
    <t>Equity Shares</t>
  </si>
  <si>
    <t>NO</t>
  </si>
  <si>
    <t>Table IIIA - Statement showing shareholding pattern of the Public shareholders holding 1% or more than 1% of shares of the Company</t>
  </si>
  <si>
    <t>i</t>
  </si>
  <si>
    <t>TOTAL</t>
  </si>
  <si>
    <t xml:space="preserve">WELFARE FUNDS                     </t>
  </si>
  <si>
    <r>
      <t xml:space="preserve">Name of Listed Entity: </t>
    </r>
    <r>
      <rPr>
        <b/>
        <sz val="11"/>
        <color theme="1"/>
        <rFont val="Calibri"/>
        <family val="2"/>
        <scheme val="minor"/>
      </rPr>
      <t>MUKAND LIMITED</t>
    </r>
  </si>
  <si>
    <t xml:space="preserve">Format of Holding of Specified securities                                          </t>
  </si>
  <si>
    <t>ANNEXURE - I</t>
  </si>
  <si>
    <t>AAACL0582H</t>
  </si>
  <si>
    <t>Shri Neelakantan K. Iyer (A/c Jadavdevi Suketu Trust)</t>
  </si>
  <si>
    <t>AALCS6828G</t>
  </si>
  <si>
    <t>Shri Suketu V Shah</t>
  </si>
  <si>
    <t>Oremet Minerals And Metal Pvt Ltd</t>
  </si>
  <si>
    <t>Shri Rajesh V Shah (A/c Decree Trust)</t>
  </si>
  <si>
    <t>AAACO9491N</t>
  </si>
  <si>
    <t>AAATD0261A</t>
  </si>
  <si>
    <t>TEESTA RETAIL PRIVATE LIMITED</t>
  </si>
  <si>
    <t>Isarnan  Steel and Minerals Pvt. Ltd.</t>
  </si>
  <si>
    <t>IEPF AUTHORITY</t>
  </si>
  <si>
    <r>
      <t>Shri Anant Bajaj</t>
    </r>
    <r>
      <rPr>
        <b/>
        <vertAlign val="superscript"/>
        <sz val="14"/>
        <color theme="1"/>
        <rFont val="Calibri"/>
        <family val="2"/>
        <scheme val="minor"/>
      </rPr>
      <t>*</t>
    </r>
  </si>
  <si>
    <t>Notes:</t>
  </si>
  <si>
    <t>*“Anant Bajaj, who was a promoter and/or was a person belonging to the promoter group of the Company died on 10th August 2018. The Late Anant Bajaj held 86,400 equity shares in Mukand Limited ('the Company'), constituting 0.06 % of the paid-up equity share capital of the Company. In accordance with Regulation 31A(6)(c) of the SEBI (Listing Obligations and Disclosure Requirements) Regulations, 2015, Late Anant Bajaj has automatically ceased to be a promoter/person belonging to the promoter group on his death. However, in consideration of the application made to the Hon’ble High Court, Bombay for grant of Letter of Administration in favour of his legal heirs namely, his wife, son and mother, who are already part of promoter/person belonging to the promoter group, the shares that were held by the Late Anant Bajaj are being continued to be classified as promoter shareholding. Upon the transmission, succession or inheritance of the shares that were held by the Late Anant Bajaj, the recipients of the shares will be classified as a promoter/person belonging to the promoter group, as applicable. Hence there will not be any change in the total promoter shareholding in the Company.</t>
  </si>
  <si>
    <t>AACCT8123E</t>
  </si>
  <si>
    <r>
      <t xml:space="preserve">a. if under 31(1)(b) then indicate the report for quarter ended : </t>
    </r>
    <r>
      <rPr>
        <b/>
        <sz val="11"/>
        <color theme="1"/>
        <rFont val="Calibri"/>
        <family val="2"/>
        <scheme val="minor"/>
      </rPr>
      <t>Qtr Ended - 30th September, 2020</t>
    </r>
  </si>
</sst>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indexed="8"/>
      <name val="Calibri"/>
      <family val="2"/>
    </font>
    <font>
      <b/>
      <i/>
      <u/>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theme="1"/>
      <name val="Calibri"/>
      <family val="2"/>
      <scheme val="minor"/>
    </font>
    <font>
      <b/>
      <sz val="12"/>
      <color theme="1"/>
      <name val="Calibri"/>
      <family val="2"/>
      <scheme val="minor"/>
    </font>
    <font>
      <b/>
      <sz val="11"/>
      <color theme="1"/>
      <name val="Calibri"/>
      <family val="2"/>
      <scheme val="minor"/>
    </font>
    <font>
      <b/>
      <vertAlign val="superscript"/>
      <sz val="14"/>
      <color theme="1"/>
      <name val="Calibri"/>
      <family val="2"/>
      <scheme val="minor"/>
    </font>
    <font>
      <sz val="12"/>
      <name val="Times New Roman"/>
      <family val="1"/>
    </font>
    <font>
      <b/>
      <sz val="12"/>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00">
    <xf numFmtId="0" fontId="0" fillId="0" borderId="0" xfId="0"/>
    <xf numFmtId="0" fontId="0" fillId="0" borderId="0" xfId="0" quotePrefix="1"/>
    <xf numFmtId="0" fontId="0" fillId="0" borderId="1" xfId="0" applyBorder="1"/>
    <xf numFmtId="0" fontId="0" fillId="0" borderId="1" xfId="0" quotePrefix="1" applyBorder="1"/>
    <xf numFmtId="0" fontId="1" fillId="0" borderId="0" xfId="0" applyFont="1"/>
    <xf numFmtId="0" fontId="2"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xf numFmtId="2" fontId="0" fillId="0" borderId="1" xfId="0" applyNumberFormat="1" applyBorder="1"/>
    <xf numFmtId="2"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0" fontId="0" fillId="0" borderId="0" xfId="0"/>
    <xf numFmtId="0" fontId="0" fillId="0" borderId="1" xfId="0" applyBorder="1" applyAlignment="1">
      <alignment wrapText="1"/>
    </xf>
    <xf numFmtId="0" fontId="0" fillId="0" borderId="1" xfId="0" applyBorder="1" applyAlignment="1">
      <alignment horizontal="center"/>
    </xf>
    <xf numFmtId="0" fontId="0" fillId="0" borderId="0" xfId="0"/>
    <xf numFmtId="0" fontId="1" fillId="0" borderId="1" xfId="0" applyFont="1" applyBorder="1" applyAlignment="1">
      <alignment horizontal="center"/>
    </xf>
    <xf numFmtId="0" fontId="2" fillId="0" borderId="0" xfId="0" applyFont="1" applyFill="1"/>
    <xf numFmtId="0" fontId="1" fillId="0" borderId="1" xfId="0" applyFont="1" applyFill="1" applyBorder="1" applyAlignment="1">
      <alignment vertical="top" wrapText="1"/>
    </xf>
    <xf numFmtId="0" fontId="1" fillId="0" borderId="0" xfId="0" applyFont="1" applyFill="1"/>
    <xf numFmtId="0" fontId="1" fillId="0" borderId="1"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1" fillId="0" borderId="1" xfId="0" applyFont="1" applyFill="1" applyBorder="1" applyAlignment="1">
      <alignment vertical="top"/>
    </xf>
    <xf numFmtId="0" fontId="1" fillId="0" borderId="1" xfId="0" applyFont="1" applyFill="1" applyBorder="1" applyAlignment="1">
      <alignment horizontal="center"/>
    </xf>
    <xf numFmtId="0" fontId="0" fillId="0" borderId="1" xfId="0" quotePrefix="1" applyFill="1" applyBorder="1"/>
    <xf numFmtId="0" fontId="0" fillId="0" borderId="1" xfId="0" applyFill="1" applyBorder="1"/>
    <xf numFmtId="0" fontId="0" fillId="0" borderId="0" xfId="0" applyFill="1"/>
    <xf numFmtId="0" fontId="0" fillId="0" borderId="1" xfId="0" applyFill="1" applyBorder="1" applyAlignment="1">
      <alignment horizontal="center"/>
    </xf>
    <xf numFmtId="2" fontId="0" fillId="0" borderId="1" xfId="0" applyNumberFormat="1" applyFill="1" applyBorder="1"/>
    <xf numFmtId="2" fontId="1" fillId="0" borderId="1" xfId="0" applyNumberFormat="1" applyFont="1" applyFill="1" applyBorder="1"/>
    <xf numFmtId="0" fontId="0" fillId="0" borderId="1" xfId="0" applyFill="1" applyBorder="1" applyAlignment="1">
      <alignment wrapText="1"/>
    </xf>
    <xf numFmtId="0" fontId="0" fillId="0" borderId="1" xfId="0" applyFont="1" applyFill="1" applyBorder="1"/>
    <xf numFmtId="0" fontId="0" fillId="0" borderId="0" xfId="0"/>
    <xf numFmtId="0" fontId="0" fillId="0" borderId="0" xfId="0" applyFont="1" applyFill="1"/>
    <xf numFmtId="0" fontId="6" fillId="0" borderId="0" xfId="0" applyFont="1" applyFill="1"/>
    <xf numFmtId="0" fontId="7" fillId="0" borderId="1" xfId="0" applyFont="1" applyFill="1" applyBorder="1" applyAlignment="1">
      <alignment vertical="top" wrapText="1"/>
    </xf>
    <xf numFmtId="0" fontId="7" fillId="0" borderId="0" xfId="0" applyFont="1" applyFill="1"/>
    <xf numFmtId="0" fontId="7" fillId="0" borderId="1" xfId="0"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vertical="top"/>
    </xf>
    <xf numFmtId="0" fontId="7" fillId="0" borderId="1" xfId="0" applyFont="1" applyFill="1" applyBorder="1" applyAlignment="1">
      <alignment horizontal="center"/>
    </xf>
    <xf numFmtId="0" fontId="8" fillId="0" borderId="1" xfId="0" quotePrefix="1" applyFont="1" applyFill="1" applyBorder="1"/>
    <xf numFmtId="0" fontId="8" fillId="0" borderId="1" xfId="0" applyFont="1" applyFill="1" applyBorder="1"/>
    <xf numFmtId="0" fontId="8" fillId="0" borderId="0" xfId="0" applyFont="1" applyFill="1"/>
    <xf numFmtId="0" fontId="8" fillId="0" borderId="1" xfId="0" applyFont="1" applyFill="1" applyBorder="1" applyAlignment="1">
      <alignment horizontal="center"/>
    </xf>
    <xf numFmtId="2" fontId="8" fillId="0" borderId="1" xfId="0" applyNumberFormat="1"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wrapText="1"/>
    </xf>
    <xf numFmtId="2" fontId="7" fillId="0" borderId="1" xfId="0" applyNumberFormat="1" applyFont="1" applyFill="1" applyBorder="1"/>
    <xf numFmtId="0" fontId="9" fillId="0" borderId="0" xfId="0" applyFont="1" applyFill="1" applyAlignment="1">
      <alignment vertical="top"/>
    </xf>
    <xf numFmtId="0" fontId="10" fillId="0" borderId="0" xfId="0" applyFont="1" applyFill="1"/>
    <xf numFmtId="0" fontId="11" fillId="0" borderId="0" xfId="0" applyFont="1" applyFill="1"/>
    <xf numFmtId="0" fontId="12" fillId="0" borderId="0" xfId="0" applyFont="1" applyFill="1"/>
    <xf numFmtId="0" fontId="13" fillId="0" borderId="1"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xf numFmtId="0" fontId="13" fillId="0" borderId="1" xfId="0" applyFont="1" applyFill="1" applyBorder="1"/>
    <xf numFmtId="0" fontId="13"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1" xfId="0" applyFont="1" applyFill="1" applyBorder="1"/>
    <xf numFmtId="2" fontId="11" fillId="0" borderId="1" xfId="0" applyNumberFormat="1" applyFont="1" applyFill="1" applyBorder="1"/>
    <xf numFmtId="0" fontId="11" fillId="0" borderId="1" xfId="0" applyFont="1" applyFill="1" applyBorder="1" applyAlignment="1">
      <alignment horizontal="right"/>
    </xf>
    <xf numFmtId="2" fontId="13" fillId="0" borderId="1" xfId="0" applyNumberFormat="1" applyFont="1" applyFill="1" applyBorder="1"/>
    <xf numFmtId="0" fontId="16" fillId="0" borderId="0" xfId="0" applyFont="1" applyFill="1"/>
    <xf numFmtId="0" fontId="17" fillId="0" borderId="1" xfId="0" applyFont="1" applyFill="1" applyBorder="1" applyAlignment="1">
      <alignment vertical="top" wrapText="1"/>
    </xf>
    <xf numFmtId="0" fontId="17" fillId="0" borderId="0" xfId="0" applyFont="1" applyFill="1"/>
    <xf numFmtId="0" fontId="17" fillId="0" borderId="1" xfId="0" applyFont="1" applyFill="1" applyBorder="1"/>
    <xf numFmtId="0" fontId="17" fillId="0" borderId="1" xfId="0" applyFont="1" applyFill="1" applyBorder="1" applyAlignment="1">
      <alignment horizontal="center" vertical="top" wrapText="1"/>
    </xf>
    <xf numFmtId="0" fontId="17" fillId="0" borderId="1" xfId="0" applyFont="1" applyFill="1" applyBorder="1" applyAlignment="1">
      <alignment wrapText="1"/>
    </xf>
    <xf numFmtId="0" fontId="17" fillId="0" borderId="1" xfId="0" applyFont="1" applyFill="1" applyBorder="1" applyAlignment="1">
      <alignment vertical="top"/>
    </xf>
    <xf numFmtId="0" fontId="17" fillId="0" borderId="1" xfId="0" applyFont="1" applyFill="1" applyBorder="1" applyAlignment="1">
      <alignment horizontal="center"/>
    </xf>
    <xf numFmtId="0" fontId="18" fillId="0" borderId="1" xfId="0" quotePrefix="1" applyFont="1" applyFill="1" applyBorder="1"/>
    <xf numFmtId="0" fontId="18" fillId="0" borderId="1" xfId="0" applyFont="1" applyFill="1" applyBorder="1"/>
    <xf numFmtId="0" fontId="18" fillId="0" borderId="0" xfId="0" applyFont="1" applyFill="1"/>
    <xf numFmtId="0" fontId="18" fillId="0" borderId="1" xfId="0" applyFont="1" applyFill="1" applyBorder="1" applyAlignment="1">
      <alignment horizontal="center"/>
    </xf>
    <xf numFmtId="2" fontId="18" fillId="0" borderId="1" xfId="0" applyNumberFormat="1" applyFont="1" applyFill="1" applyBorder="1"/>
    <xf numFmtId="2" fontId="17" fillId="0" borderId="1" xfId="0" applyNumberFormat="1" applyFont="1" applyFill="1" applyBorder="1"/>
    <xf numFmtId="0" fontId="18" fillId="0" borderId="1" xfId="0" applyFont="1" applyFill="1" applyBorder="1" applyAlignment="1">
      <alignment wrapText="1"/>
    </xf>
    <xf numFmtId="0" fontId="18" fillId="0" borderId="1" xfId="0" quotePrefix="1" applyFont="1" applyFill="1" applyBorder="1" applyAlignment="1">
      <alignment horizontal="center"/>
    </xf>
    <xf numFmtId="0" fontId="11" fillId="0" borderId="0" xfId="0" applyFont="1" applyFill="1"/>
    <xf numFmtId="0" fontId="7" fillId="0" borderId="1" xfId="0" applyFont="1" applyFill="1" applyBorder="1" applyAlignment="1">
      <alignment vertical="top" wrapText="1"/>
    </xf>
    <xf numFmtId="0" fontId="0" fillId="0" borderId="0" xfId="0" applyAlignment="1">
      <alignment horizontal="center"/>
    </xf>
    <xf numFmtId="0" fontId="5" fillId="0" borderId="0" xfId="0" applyFont="1" applyAlignment="1">
      <alignment horizontal="right"/>
    </xf>
    <xf numFmtId="0" fontId="11" fillId="0" borderId="1" xfId="0" applyFont="1" applyFill="1" applyBorder="1" applyAlignment="1">
      <alignment horizontal="center"/>
    </xf>
    <xf numFmtId="0" fontId="11" fillId="0" borderId="0" xfId="0" applyFont="1" applyFill="1"/>
    <xf numFmtId="0" fontId="13" fillId="0" borderId="1" xfId="0" applyFont="1" applyFill="1" applyBorder="1" applyAlignment="1">
      <alignment vertical="top" wrapText="1"/>
    </xf>
    <xf numFmtId="0" fontId="15" fillId="0" borderId="0" xfId="0" applyFont="1" applyFill="1" applyAlignment="1">
      <alignment horizontal="justify" vertical="center" wrapText="1"/>
    </xf>
    <xf numFmtId="0" fontId="7" fillId="0" borderId="1" xfId="0" applyFont="1" applyFill="1" applyBorder="1" applyAlignment="1">
      <alignment vertical="top" wrapText="1"/>
    </xf>
    <xf numFmtId="0" fontId="7" fillId="0" borderId="1" xfId="0" applyFont="1" applyFill="1" applyBorder="1" applyAlignment="1">
      <alignment horizontal="center"/>
    </xf>
    <xf numFmtId="0" fontId="17" fillId="0" borderId="1" xfId="0" applyFont="1" applyFill="1" applyBorder="1" applyAlignment="1">
      <alignment vertical="top" wrapText="1"/>
    </xf>
    <xf numFmtId="0" fontId="17" fillId="0"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9"/>
  <sheetViews>
    <sheetView zoomScaleSheetLayoutView="115" workbookViewId="0">
      <selection activeCell="D21" sqref="D21"/>
    </sheetView>
  </sheetViews>
  <sheetFormatPr defaultRowHeight="15"/>
  <cols>
    <col min="1" max="1" width="10.7109375" customWidth="1"/>
    <col min="2" max="2" width="110.7109375" customWidth="1"/>
    <col min="3" max="4" width="10.7109375" customWidth="1"/>
  </cols>
  <sheetData>
    <row r="1" spans="1:4" s="17" customFormat="1">
      <c r="B1" s="86" t="s">
        <v>217</v>
      </c>
      <c r="C1" s="86"/>
      <c r="D1" s="86"/>
    </row>
    <row r="2" spans="1:4">
      <c r="A2" s="85" t="s">
        <v>216</v>
      </c>
      <c r="B2" s="85"/>
      <c r="C2" s="85"/>
      <c r="D2" s="85"/>
    </row>
    <row r="4" spans="1:4">
      <c r="A4" s="1" t="s">
        <v>0</v>
      </c>
      <c r="B4" s="17" t="s">
        <v>215</v>
      </c>
    </row>
    <row r="5" spans="1:4">
      <c r="A5" s="1" t="s">
        <v>1</v>
      </c>
      <c r="B5" s="14" t="s">
        <v>132</v>
      </c>
    </row>
    <row r="6" spans="1:4">
      <c r="A6" s="1" t="s">
        <v>2</v>
      </c>
      <c r="B6" s="14" t="s">
        <v>131</v>
      </c>
    </row>
    <row r="7" spans="1:4">
      <c r="B7" s="35" t="s">
        <v>233</v>
      </c>
    </row>
    <row r="8" spans="1:4">
      <c r="A8" s="1" t="s">
        <v>3</v>
      </c>
      <c r="B8" t="s">
        <v>4</v>
      </c>
    </row>
    <row r="9" spans="1:4">
      <c r="A9" s="2"/>
      <c r="B9" s="9" t="s">
        <v>5</v>
      </c>
      <c r="C9" s="18" t="s">
        <v>6</v>
      </c>
      <c r="D9" s="18" t="s">
        <v>7</v>
      </c>
    </row>
    <row r="10" spans="1:4">
      <c r="A10" s="3" t="s">
        <v>8</v>
      </c>
      <c r="B10" s="2" t="s">
        <v>9</v>
      </c>
      <c r="C10" s="16"/>
      <c r="D10" s="16" t="s">
        <v>210</v>
      </c>
    </row>
    <row r="11" spans="1:4">
      <c r="A11" s="3" t="s">
        <v>10</v>
      </c>
      <c r="B11" s="2" t="s">
        <v>11</v>
      </c>
      <c r="C11" s="16"/>
      <c r="D11" s="16" t="s">
        <v>210</v>
      </c>
    </row>
    <row r="12" spans="1:4">
      <c r="A12" s="3" t="s">
        <v>12</v>
      </c>
      <c r="B12" s="2" t="s">
        <v>13</v>
      </c>
      <c r="C12" s="16"/>
      <c r="D12" s="16" t="s">
        <v>210</v>
      </c>
    </row>
    <row r="13" spans="1:4">
      <c r="A13" s="3" t="s">
        <v>14</v>
      </c>
      <c r="B13" s="2" t="s">
        <v>15</v>
      </c>
      <c r="C13" s="16"/>
      <c r="D13" s="16" t="s">
        <v>210</v>
      </c>
    </row>
    <row r="14" spans="1:4">
      <c r="A14" s="3" t="s">
        <v>16</v>
      </c>
      <c r="B14" s="2" t="s">
        <v>17</v>
      </c>
      <c r="C14" s="16"/>
      <c r="D14" s="16" t="s">
        <v>210</v>
      </c>
    </row>
    <row r="18" spans="1:2">
      <c r="A18" s="1" t="s">
        <v>18</v>
      </c>
      <c r="B18" t="s">
        <v>19</v>
      </c>
    </row>
    <row r="19" spans="1:2" s="4" customFormat="1"/>
  </sheetData>
  <mergeCells count="2">
    <mergeCell ref="A2:D2"/>
    <mergeCell ref="B1:D1"/>
  </mergeCells>
  <pageMargins left="0.21" right="0.196850393700787" top="0.82677165354330695" bottom="0.43307086614173201" header="0.31496062992126" footer="0.31496062992126"/>
  <pageSetup paperSize="9" scale="95" orientation="landscape" r:id="rId1"/>
  <headerFooter>
    <oddHeader xml:space="preserve">&amp;L&amp;"-,Bold"Shareholding Pattern - Regulation 31 - Mukand Ltd.&amp;C&amp;"-,Bold"Scrip Code (BSE)- 500460Scrip Name (NSE)- MUKANDLTD&amp;R&amp;"-,Bold"Qtr Ended - 30th September, 2020
</oddHeader>
    <oddFooter>&amp;RPage 1</oddFooter>
  </headerFooter>
</worksheet>
</file>

<file path=xl/worksheets/sheet2.xml><?xml version="1.0" encoding="utf-8"?>
<worksheet xmlns="http://schemas.openxmlformats.org/spreadsheetml/2006/main" xmlns:r="http://schemas.openxmlformats.org/officeDocument/2006/relationships">
  <dimension ref="A1:R20"/>
  <sheetViews>
    <sheetView topLeftCell="A3" zoomScale="80" zoomScaleNormal="80" zoomScaleSheetLayoutView="85" zoomScalePageLayoutView="90" workbookViewId="0">
      <selection activeCell="D9" sqref="D9"/>
    </sheetView>
  </sheetViews>
  <sheetFormatPr defaultColWidth="9.140625" defaultRowHeight="15"/>
  <cols>
    <col min="1" max="1" width="8.5703125" style="55" customWidth="1"/>
    <col min="2" max="2" width="28.42578125" style="55" customWidth="1"/>
    <col min="3" max="3" width="9" style="55" customWidth="1"/>
    <col min="4" max="4" width="14.140625" style="55" customWidth="1"/>
    <col min="5" max="5" width="11.140625" style="55" customWidth="1"/>
    <col min="6" max="6" width="9.85546875" style="55" customWidth="1"/>
    <col min="7" max="7" width="15.85546875" style="55" bestFit="1" customWidth="1"/>
    <col min="8" max="8" width="10.28515625" style="55" customWidth="1"/>
    <col min="9" max="9" width="17.7109375" style="55" bestFit="1" customWidth="1"/>
    <col min="10" max="10" width="10.85546875" style="55" customWidth="1"/>
    <col min="11" max="11" width="10.5703125" style="55" customWidth="1"/>
    <col min="12" max="12" width="17.7109375" style="55" customWidth="1"/>
    <col min="13" max="13" width="9" style="55" customWidth="1"/>
    <col min="14" max="14" width="10" style="55" customWidth="1"/>
    <col min="15" max="15" width="13.42578125" style="55" bestFit="1" customWidth="1"/>
    <col min="16" max="16" width="11.5703125" style="55" customWidth="1"/>
    <col min="17" max="17" width="12.85546875" style="55" customWidth="1"/>
    <col min="18" max="16384" width="9.140625" style="55"/>
  </cols>
  <sheetData>
    <row r="1" spans="1:18">
      <c r="A1" s="88"/>
      <c r="B1" s="88"/>
      <c r="C1" s="88"/>
      <c r="D1" s="88"/>
    </row>
    <row r="2" spans="1:18" s="56" customFormat="1" ht="15.75">
      <c r="A2" s="56" t="s">
        <v>21</v>
      </c>
    </row>
    <row r="4" spans="1:18" s="59" customFormat="1" ht="218.25" customHeight="1">
      <c r="A4" s="57" t="s">
        <v>20</v>
      </c>
      <c r="B4" s="58" t="s">
        <v>22</v>
      </c>
      <c r="C4" s="57" t="s">
        <v>23</v>
      </c>
      <c r="D4" s="57" t="s">
        <v>24</v>
      </c>
      <c r="E4" s="57" t="s">
        <v>25</v>
      </c>
      <c r="F4" s="57" t="s">
        <v>26</v>
      </c>
      <c r="G4" s="57" t="s">
        <v>27</v>
      </c>
      <c r="H4" s="57" t="s">
        <v>28</v>
      </c>
      <c r="I4" s="89" t="s">
        <v>29</v>
      </c>
      <c r="J4" s="89"/>
      <c r="K4" s="57" t="s">
        <v>30</v>
      </c>
      <c r="L4" s="57" t="s">
        <v>31</v>
      </c>
      <c r="M4" s="89" t="s">
        <v>32</v>
      </c>
      <c r="N4" s="89"/>
      <c r="O4" s="89" t="s">
        <v>33</v>
      </c>
      <c r="P4" s="89"/>
      <c r="Q4" s="57" t="s">
        <v>34</v>
      </c>
    </row>
    <row r="5" spans="1:18" s="59" customFormat="1" ht="64.5" customHeight="1">
      <c r="A5" s="60"/>
      <c r="B5" s="60"/>
      <c r="C5" s="60"/>
      <c r="D5" s="60"/>
      <c r="E5" s="60"/>
      <c r="F5" s="60"/>
      <c r="G5" s="60"/>
      <c r="H5" s="60"/>
      <c r="I5" s="61" t="s">
        <v>35</v>
      </c>
      <c r="J5" s="57" t="s">
        <v>36</v>
      </c>
      <c r="K5" s="60"/>
      <c r="L5" s="60"/>
      <c r="M5" s="57" t="s">
        <v>37</v>
      </c>
      <c r="N5" s="57" t="s">
        <v>38</v>
      </c>
      <c r="O5" s="57" t="s">
        <v>37</v>
      </c>
      <c r="P5" s="57" t="s">
        <v>38</v>
      </c>
      <c r="Q5" s="60"/>
    </row>
    <row r="6" spans="1:18" s="59" customFormat="1">
      <c r="A6" s="60"/>
      <c r="B6" s="60"/>
      <c r="C6" s="60"/>
      <c r="D6" s="60"/>
      <c r="E6" s="60"/>
      <c r="F6" s="60"/>
      <c r="G6" s="60"/>
      <c r="H6" s="60"/>
      <c r="I6" s="61" t="s">
        <v>209</v>
      </c>
      <c r="J6" s="60"/>
      <c r="K6" s="60"/>
      <c r="L6" s="60"/>
      <c r="M6" s="60"/>
      <c r="N6" s="60"/>
      <c r="O6" s="60"/>
      <c r="P6" s="60"/>
      <c r="Q6" s="60"/>
    </row>
    <row r="7" spans="1:18">
      <c r="A7" s="62" t="s">
        <v>42</v>
      </c>
      <c r="B7" s="62" t="s">
        <v>43</v>
      </c>
      <c r="C7" s="62" t="s">
        <v>44</v>
      </c>
      <c r="D7" s="62" t="s">
        <v>45</v>
      </c>
      <c r="E7" s="62" t="s">
        <v>46</v>
      </c>
      <c r="F7" s="62" t="s">
        <v>47</v>
      </c>
      <c r="G7" s="62" t="s">
        <v>48</v>
      </c>
      <c r="H7" s="62" t="s">
        <v>49</v>
      </c>
      <c r="I7" s="87" t="s">
        <v>50</v>
      </c>
      <c r="J7" s="87"/>
      <c r="K7" s="62" t="s">
        <v>51</v>
      </c>
      <c r="L7" s="62" t="s">
        <v>52</v>
      </c>
      <c r="M7" s="87" t="s">
        <v>53</v>
      </c>
      <c r="N7" s="87"/>
      <c r="O7" s="87" t="s">
        <v>54</v>
      </c>
      <c r="P7" s="87"/>
      <c r="Q7" s="62" t="s">
        <v>55</v>
      </c>
    </row>
    <row r="8" spans="1:18">
      <c r="A8" s="63"/>
      <c r="B8" s="63"/>
      <c r="C8" s="63"/>
      <c r="D8" s="63"/>
      <c r="E8" s="63"/>
      <c r="F8" s="63"/>
      <c r="G8" s="63"/>
      <c r="H8" s="63"/>
      <c r="I8" s="63"/>
      <c r="J8" s="63"/>
      <c r="K8" s="63"/>
      <c r="L8" s="63"/>
      <c r="M8" s="63"/>
      <c r="N8" s="63"/>
      <c r="O8" s="63"/>
      <c r="P8" s="63"/>
      <c r="Q8" s="63"/>
    </row>
    <row r="9" spans="1:18">
      <c r="A9" s="63" t="s">
        <v>56</v>
      </c>
      <c r="B9" s="63" t="s">
        <v>57</v>
      </c>
      <c r="C9" s="63">
        <f>'TABLE-II'!D66</f>
        <v>40</v>
      </c>
      <c r="D9" s="63">
        <f>'TABLE-II'!E66</f>
        <v>105136968</v>
      </c>
      <c r="E9" s="63">
        <v>0</v>
      </c>
      <c r="F9" s="63">
        <v>0</v>
      </c>
      <c r="G9" s="63">
        <f>'TABLE-II'!H66</f>
        <v>105136968</v>
      </c>
      <c r="H9" s="64">
        <f>SUM(G9/141405861*100)</f>
        <v>74.351209530133971</v>
      </c>
      <c r="I9" s="63">
        <f>'TABLE-II'!J66</f>
        <v>105136968</v>
      </c>
      <c r="J9" s="64">
        <f>(I9/141405861*100)</f>
        <v>74.351209530133971</v>
      </c>
      <c r="K9" s="63">
        <v>0</v>
      </c>
      <c r="L9" s="64">
        <f>SUM((G9+K9)/141405861*100)</f>
        <v>74.351209530133971</v>
      </c>
      <c r="M9" s="63">
        <v>0</v>
      </c>
      <c r="N9" s="64">
        <f>SUM(M9/51098715*100)</f>
        <v>0</v>
      </c>
      <c r="O9" s="63">
        <f>'TABLE-II'!P66</f>
        <v>0</v>
      </c>
      <c r="P9" s="64">
        <f>(O9/I9)*100</f>
        <v>0</v>
      </c>
      <c r="Q9" s="63">
        <f>'TABLE-II'!R66</f>
        <v>105136968</v>
      </c>
      <c r="R9" s="83"/>
    </row>
    <row r="10" spans="1:18">
      <c r="A10" s="63" t="s">
        <v>58</v>
      </c>
      <c r="B10" s="63" t="s">
        <v>59</v>
      </c>
      <c r="C10" s="63">
        <f>'TABLE-III'!D38</f>
        <v>35325</v>
      </c>
      <c r="D10" s="63">
        <f>'TABLE-III'!E38</f>
        <v>36268893</v>
      </c>
      <c r="E10" s="63">
        <v>0</v>
      </c>
      <c r="F10" s="63">
        <v>0</v>
      </c>
      <c r="G10" s="63">
        <f>'TABLE-III'!H38</f>
        <v>36268893</v>
      </c>
      <c r="H10" s="64">
        <f>SUM(G10/141405861*100)</f>
        <v>25.648790469866029</v>
      </c>
      <c r="I10" s="63">
        <f>'TABLE-III'!J38</f>
        <v>36268893</v>
      </c>
      <c r="J10" s="64">
        <f>(I10/141405861*100)</f>
        <v>25.648790469866029</v>
      </c>
      <c r="K10" s="63">
        <v>0</v>
      </c>
      <c r="L10" s="64">
        <f>SUM((G10+K10)/141405861*100)</f>
        <v>25.648790469866029</v>
      </c>
      <c r="M10" s="63">
        <v>0</v>
      </c>
      <c r="N10" s="64">
        <f>SUM(M10/90307146*100)</f>
        <v>0</v>
      </c>
      <c r="O10" s="65" t="s">
        <v>60</v>
      </c>
      <c r="P10" s="65" t="s">
        <v>60</v>
      </c>
      <c r="Q10" s="63">
        <f>'TABLE-III'!R38</f>
        <v>35094029</v>
      </c>
    </row>
    <row r="11" spans="1:18">
      <c r="A11" s="63" t="s">
        <v>61</v>
      </c>
      <c r="B11" s="63" t="s">
        <v>62</v>
      </c>
      <c r="C11" s="63"/>
      <c r="D11" s="63"/>
      <c r="E11" s="63"/>
      <c r="F11" s="63"/>
      <c r="G11" s="63"/>
      <c r="H11" s="63"/>
      <c r="I11" s="63"/>
      <c r="J11" s="63"/>
      <c r="K11" s="63"/>
      <c r="L11" s="63"/>
      <c r="M11" s="63"/>
      <c r="N11" s="63"/>
      <c r="O11" s="65"/>
      <c r="P11" s="65"/>
      <c r="Q11" s="63"/>
    </row>
    <row r="12" spans="1:18">
      <c r="A12" s="63" t="s">
        <v>63</v>
      </c>
      <c r="B12" s="63" t="s">
        <v>64</v>
      </c>
      <c r="C12" s="63">
        <v>0</v>
      </c>
      <c r="D12" s="63">
        <v>0</v>
      </c>
      <c r="E12" s="63">
        <v>0</v>
      </c>
      <c r="F12" s="63">
        <v>0</v>
      </c>
      <c r="G12" s="63">
        <v>0</v>
      </c>
      <c r="H12" s="65" t="s">
        <v>60</v>
      </c>
      <c r="I12" s="63">
        <v>0</v>
      </c>
      <c r="J12" s="64">
        <f>(I12/141405861*100)</f>
        <v>0</v>
      </c>
      <c r="K12" s="63">
        <v>0</v>
      </c>
      <c r="L12" s="65" t="s">
        <v>60</v>
      </c>
      <c r="M12" s="63">
        <v>0</v>
      </c>
      <c r="N12" s="64">
        <v>0</v>
      </c>
      <c r="O12" s="65" t="s">
        <v>60</v>
      </c>
      <c r="P12" s="65" t="s">
        <v>60</v>
      </c>
      <c r="Q12" s="63">
        <v>0</v>
      </c>
    </row>
    <row r="13" spans="1:18">
      <c r="A13" s="63" t="s">
        <v>65</v>
      </c>
      <c r="B13" s="63" t="s">
        <v>66</v>
      </c>
      <c r="C13" s="63">
        <v>0</v>
      </c>
      <c r="D13" s="63">
        <v>0</v>
      </c>
      <c r="E13" s="63">
        <v>0</v>
      </c>
      <c r="F13" s="63">
        <v>0</v>
      </c>
      <c r="G13" s="63">
        <v>0</v>
      </c>
      <c r="H13" s="64">
        <f>SUM(G13/141405861*100)</f>
        <v>0</v>
      </c>
      <c r="I13" s="63">
        <v>0</v>
      </c>
      <c r="J13" s="64">
        <f>(I13/141405861*100)</f>
        <v>0</v>
      </c>
      <c r="K13" s="63">
        <v>0</v>
      </c>
      <c r="L13" s="64">
        <f>SUM((G13+K13)/141405861*100)</f>
        <v>0</v>
      </c>
      <c r="M13" s="63">
        <v>0</v>
      </c>
      <c r="N13" s="64">
        <v>0</v>
      </c>
      <c r="O13" s="65" t="s">
        <v>60</v>
      </c>
      <c r="P13" s="65" t="s">
        <v>60</v>
      </c>
      <c r="Q13" s="63">
        <v>0</v>
      </c>
    </row>
    <row r="14" spans="1:18">
      <c r="A14" s="63"/>
      <c r="B14" s="63"/>
      <c r="C14" s="63"/>
      <c r="D14" s="63"/>
      <c r="E14" s="63"/>
      <c r="F14" s="63"/>
      <c r="G14" s="63"/>
      <c r="H14" s="63"/>
      <c r="I14" s="63"/>
      <c r="J14" s="63"/>
      <c r="K14" s="63"/>
      <c r="L14" s="63"/>
      <c r="M14" s="63"/>
      <c r="N14" s="63"/>
      <c r="O14" s="63"/>
      <c r="P14" s="63"/>
      <c r="Q14" s="63"/>
    </row>
    <row r="15" spans="1:18" s="59" customFormat="1">
      <c r="A15" s="60"/>
      <c r="B15" s="60" t="s">
        <v>67</v>
      </c>
      <c r="C15" s="60">
        <f t="shared" ref="C15:M15" si="0">SUM(C9:C13)</f>
        <v>35365</v>
      </c>
      <c r="D15" s="60">
        <f t="shared" si="0"/>
        <v>141405861</v>
      </c>
      <c r="E15" s="60">
        <f t="shared" si="0"/>
        <v>0</v>
      </c>
      <c r="F15" s="60">
        <f t="shared" si="0"/>
        <v>0</v>
      </c>
      <c r="G15" s="60">
        <f t="shared" si="0"/>
        <v>141405861</v>
      </c>
      <c r="H15" s="66">
        <f t="shared" si="0"/>
        <v>100</v>
      </c>
      <c r="I15" s="60">
        <f t="shared" si="0"/>
        <v>141405861</v>
      </c>
      <c r="J15" s="66">
        <f t="shared" si="0"/>
        <v>100</v>
      </c>
      <c r="K15" s="60">
        <f t="shared" si="0"/>
        <v>0</v>
      </c>
      <c r="L15" s="66">
        <f t="shared" si="0"/>
        <v>100</v>
      </c>
      <c r="M15" s="60">
        <f t="shared" si="0"/>
        <v>0</v>
      </c>
      <c r="N15" s="66">
        <f>SUM(M15/G15*100)</f>
        <v>0</v>
      </c>
      <c r="O15" s="60">
        <f>SUM(O9:O13)</f>
        <v>0</v>
      </c>
      <c r="P15" s="66">
        <f>(O9/D15)*100</f>
        <v>0</v>
      </c>
      <c r="Q15" s="60">
        <f>SUM(Q9:Q13)</f>
        <v>140230997</v>
      </c>
    </row>
    <row r="20" spans="7:7">
      <c r="G20" s="36"/>
    </row>
  </sheetData>
  <mergeCells count="7">
    <mergeCell ref="I7:J7"/>
    <mergeCell ref="M7:N7"/>
    <mergeCell ref="O7:P7"/>
    <mergeCell ref="A1:D1"/>
    <mergeCell ref="I4:J4"/>
    <mergeCell ref="M4:N4"/>
    <mergeCell ref="O4:P4"/>
  </mergeCells>
  <pageMargins left="0.28999999999999998" right="0.17" top="0.75" bottom="0.75" header="0.3" footer="0.3"/>
  <pageSetup paperSize="9" scale="55" orientation="landscape" r:id="rId1"/>
  <headerFooter differentFirst="1">
    <oddHeader>&amp;L&amp;"-,Bold"Shareholding Pattern - Regulation 31 - Mukand Ltd.&amp;C&amp;"-,Bold"Scrip Code (BSE)- 500460Scrip Name (NSE)- MUKANDLTD&amp;R&amp;"-,Bold"Qtr Ended - 31st Dec, 2015</oddHeader>
    <oddFooter>&amp;CPage &amp;P of &amp;N</oddFooter>
    <firstHeader>&amp;L&amp;"-,Bold"Shareholding Pattern - Regulation 31 - Mukand Ltd.&amp;C&amp;"-,Bold"Scrip Code (BSE)- 500460Scrip Name (NSE)- MUKANDLTD&amp;R&amp;"-,Bold"Qtr Ended - 31st Dec, 2019</firstHeader>
    <firstFooter>&amp;RPage 2</firstFooter>
  </headerFooter>
  <ignoredErrors>
    <ignoredError sqref="N15" formula="1"/>
  </ignoredErrors>
</worksheet>
</file>

<file path=xl/worksheets/sheet3.xml><?xml version="1.0" encoding="utf-8"?>
<worksheet xmlns="http://schemas.openxmlformats.org/spreadsheetml/2006/main" xmlns:r="http://schemas.openxmlformats.org/officeDocument/2006/relationships">
  <dimension ref="A1:S73"/>
  <sheetViews>
    <sheetView tabSelected="1" topLeftCell="F6" zoomScale="90" zoomScaleNormal="90" zoomScalePageLayoutView="80" workbookViewId="0">
      <selection activeCell="S11" sqref="S11"/>
    </sheetView>
  </sheetViews>
  <sheetFormatPr defaultColWidth="9.140625" defaultRowHeight="15"/>
  <cols>
    <col min="1" max="1" width="8.42578125" style="47" customWidth="1"/>
    <col min="2" max="2" width="42.28515625" style="47" customWidth="1"/>
    <col min="3" max="3" width="16" style="47" customWidth="1"/>
    <col min="4" max="4" width="7.85546875" style="47" customWidth="1"/>
    <col min="5" max="5" width="17.140625" style="47" customWidth="1"/>
    <col min="6" max="6" width="10.42578125" style="47" customWidth="1"/>
    <col min="7" max="7" width="9.85546875" style="47" customWidth="1"/>
    <col min="8" max="8" width="16.5703125" style="47" customWidth="1"/>
    <col min="9" max="9" width="11.5703125" style="47" customWidth="1"/>
    <col min="10" max="10" width="16.85546875" style="47" customWidth="1"/>
    <col min="11" max="11" width="11.42578125" style="47" customWidth="1"/>
    <col min="12" max="12" width="13.85546875" style="47" customWidth="1"/>
    <col min="13" max="13" width="13" style="47" customWidth="1"/>
    <col min="14" max="15" width="11.42578125" style="47" customWidth="1"/>
    <col min="16" max="16" width="13.42578125" style="47" customWidth="1"/>
    <col min="17" max="17" width="10.28515625" style="47" customWidth="1"/>
    <col min="18" max="18" width="15.85546875" style="47" customWidth="1"/>
    <col min="19" max="16384" width="9.140625" style="47"/>
  </cols>
  <sheetData>
    <row r="1" spans="1:19" s="37" customFormat="1" ht="15.75">
      <c r="A1" s="37" t="s">
        <v>68</v>
      </c>
    </row>
    <row r="2" spans="1:19" ht="7.5" customHeight="1"/>
    <row r="3" spans="1:19" s="39" customFormat="1" ht="246.75" customHeight="1">
      <c r="A3" s="38" t="s">
        <v>20</v>
      </c>
      <c r="B3" s="38" t="s">
        <v>69</v>
      </c>
      <c r="C3" s="38" t="s">
        <v>70</v>
      </c>
      <c r="D3" s="38" t="s">
        <v>23</v>
      </c>
      <c r="E3" s="38" t="s">
        <v>24</v>
      </c>
      <c r="F3" s="38" t="s">
        <v>25</v>
      </c>
      <c r="G3" s="38" t="s">
        <v>26</v>
      </c>
      <c r="H3" s="38" t="s">
        <v>71</v>
      </c>
      <c r="I3" s="38" t="s">
        <v>72</v>
      </c>
      <c r="J3" s="91" t="s">
        <v>29</v>
      </c>
      <c r="K3" s="91"/>
      <c r="L3" s="38" t="s">
        <v>30</v>
      </c>
      <c r="M3" s="38" t="s">
        <v>31</v>
      </c>
      <c r="N3" s="91" t="s">
        <v>32</v>
      </c>
      <c r="O3" s="91"/>
      <c r="P3" s="91" t="s">
        <v>33</v>
      </c>
      <c r="Q3" s="91"/>
      <c r="R3" s="38" t="s">
        <v>34</v>
      </c>
    </row>
    <row r="4" spans="1:19" s="39" customFormat="1" ht="75" customHeight="1">
      <c r="A4" s="40"/>
      <c r="B4" s="40"/>
      <c r="C4" s="40"/>
      <c r="D4" s="40"/>
      <c r="E4" s="40"/>
      <c r="F4" s="40"/>
      <c r="G4" s="40"/>
      <c r="H4" s="40"/>
      <c r="I4" s="40"/>
      <c r="J4" s="41" t="s">
        <v>35</v>
      </c>
      <c r="K4" s="38" t="s">
        <v>36</v>
      </c>
      <c r="L4" s="42"/>
      <c r="M4" s="40"/>
      <c r="N4" s="43" t="s">
        <v>37</v>
      </c>
      <c r="O4" s="38" t="s">
        <v>38</v>
      </c>
      <c r="P4" s="84" t="s">
        <v>37</v>
      </c>
      <c r="Q4" s="38" t="s">
        <v>38</v>
      </c>
      <c r="R4" s="40"/>
    </row>
    <row r="5" spans="1:19" s="39" customFormat="1" ht="34.5" customHeight="1">
      <c r="A5" s="40"/>
      <c r="B5" s="40"/>
      <c r="C5" s="40"/>
      <c r="D5" s="40"/>
      <c r="E5" s="40"/>
      <c r="F5" s="40"/>
      <c r="G5" s="40"/>
      <c r="H5" s="40"/>
      <c r="I5" s="40"/>
      <c r="J5" s="41" t="s">
        <v>209</v>
      </c>
      <c r="K5" s="40"/>
      <c r="L5" s="40"/>
      <c r="M5" s="40"/>
      <c r="N5" s="40"/>
      <c r="O5" s="40"/>
      <c r="P5" s="40"/>
      <c r="Q5" s="40"/>
      <c r="R5" s="40"/>
    </row>
    <row r="6" spans="1:19" s="39" customFormat="1">
      <c r="A6" s="44"/>
      <c r="B6" s="44" t="s">
        <v>42</v>
      </c>
      <c r="C6" s="44" t="s">
        <v>43</v>
      </c>
      <c r="D6" s="44" t="s">
        <v>44</v>
      </c>
      <c r="E6" s="44" t="s">
        <v>45</v>
      </c>
      <c r="F6" s="44" t="s">
        <v>46</v>
      </c>
      <c r="G6" s="44" t="s">
        <v>47</v>
      </c>
      <c r="H6" s="44" t="s">
        <v>48</v>
      </c>
      <c r="I6" s="44" t="s">
        <v>49</v>
      </c>
      <c r="J6" s="92" t="s">
        <v>50</v>
      </c>
      <c r="K6" s="92"/>
      <c r="L6" s="44" t="s">
        <v>51</v>
      </c>
      <c r="M6" s="44" t="s">
        <v>52</v>
      </c>
      <c r="N6" s="92" t="s">
        <v>53</v>
      </c>
      <c r="O6" s="92"/>
      <c r="P6" s="92" t="s">
        <v>54</v>
      </c>
      <c r="Q6" s="92"/>
      <c r="R6" s="44" t="s">
        <v>55</v>
      </c>
    </row>
    <row r="7" spans="1:19">
      <c r="A7" s="45" t="s">
        <v>73</v>
      </c>
      <c r="B7" s="46" t="s">
        <v>74</v>
      </c>
      <c r="C7" s="46"/>
      <c r="D7" s="46"/>
      <c r="E7" s="46"/>
      <c r="F7" s="46"/>
      <c r="G7" s="46"/>
      <c r="H7" s="46"/>
      <c r="I7" s="46"/>
      <c r="J7" s="46"/>
      <c r="K7" s="46"/>
      <c r="L7" s="46"/>
      <c r="M7" s="46"/>
      <c r="N7" s="46"/>
      <c r="O7" s="46"/>
      <c r="P7" s="46"/>
      <c r="Q7" s="46"/>
      <c r="R7" s="46"/>
    </row>
    <row r="8" spans="1:19">
      <c r="A8" s="48" t="s">
        <v>75</v>
      </c>
      <c r="B8" s="46" t="s">
        <v>76</v>
      </c>
      <c r="C8" s="46"/>
      <c r="D8" s="46"/>
      <c r="E8" s="46"/>
      <c r="F8" s="46"/>
      <c r="G8" s="46"/>
      <c r="H8" s="46"/>
      <c r="I8" s="49"/>
      <c r="J8" s="46"/>
      <c r="K8" s="49"/>
      <c r="L8" s="46"/>
      <c r="M8" s="49"/>
      <c r="N8" s="46"/>
      <c r="O8" s="49"/>
      <c r="P8" s="46"/>
      <c r="Q8" s="49"/>
      <c r="R8" s="46"/>
    </row>
    <row r="9" spans="1:19">
      <c r="A9" s="48">
        <v>1</v>
      </c>
      <c r="B9" s="46" t="s">
        <v>133</v>
      </c>
      <c r="C9" s="28" t="s">
        <v>149</v>
      </c>
      <c r="D9" s="46"/>
      <c r="E9" s="46">
        <v>712044</v>
      </c>
      <c r="F9" s="46">
        <v>0</v>
      </c>
      <c r="G9" s="46">
        <v>0</v>
      </c>
      <c r="H9" s="46">
        <f>+E9+F9+G9</f>
        <v>712044</v>
      </c>
      <c r="I9" s="49">
        <f t="shared" ref="I9:I48" si="0">SUM(H9/141405861*100)</f>
        <v>0.50354631340210154</v>
      </c>
      <c r="J9" s="46">
        <v>712044</v>
      </c>
      <c r="K9" s="49">
        <f t="shared" ref="K9:K56" si="1">+(J9/141405861*100)</f>
        <v>0.50354631340210154</v>
      </c>
      <c r="L9" s="46">
        <v>0</v>
      </c>
      <c r="M9" s="49">
        <f t="shared" ref="M9:M26" si="2">SUM((H9+L9)/141405861*100)</f>
        <v>0.50354631340210154</v>
      </c>
      <c r="N9" s="46">
        <v>0</v>
      </c>
      <c r="O9" s="49">
        <v>0</v>
      </c>
      <c r="P9" s="46">
        <v>0</v>
      </c>
      <c r="Q9" s="49">
        <f>+(P9/J9)*100</f>
        <v>0</v>
      </c>
      <c r="R9" s="46">
        <v>712044</v>
      </c>
    </row>
    <row r="10" spans="1:19">
      <c r="A10" s="50">
        <f>1+A9</f>
        <v>2</v>
      </c>
      <c r="B10" s="46" t="s">
        <v>134</v>
      </c>
      <c r="C10" s="28" t="s">
        <v>150</v>
      </c>
      <c r="D10" s="46"/>
      <c r="E10" s="46">
        <v>11786730</v>
      </c>
      <c r="F10" s="46">
        <v>0</v>
      </c>
      <c r="G10" s="46">
        <v>0</v>
      </c>
      <c r="H10" s="46">
        <f t="shared" ref="H10:H48" si="3">+E10+F10+G10</f>
        <v>11786730</v>
      </c>
      <c r="I10" s="49">
        <f t="shared" si="0"/>
        <v>8.3353900019745293</v>
      </c>
      <c r="J10" s="46">
        <v>11786730</v>
      </c>
      <c r="K10" s="49">
        <f t="shared" si="1"/>
        <v>8.3353900019745293</v>
      </c>
      <c r="L10" s="46">
        <v>0</v>
      </c>
      <c r="M10" s="49">
        <f t="shared" si="2"/>
        <v>8.3353900019745293</v>
      </c>
      <c r="N10" s="46">
        <v>0</v>
      </c>
      <c r="O10" s="49">
        <v>0</v>
      </c>
      <c r="P10" s="46">
        <v>0</v>
      </c>
      <c r="Q10" s="49">
        <f>+(P10/J10)*100</f>
        <v>0</v>
      </c>
      <c r="R10" s="46">
        <v>11786730</v>
      </c>
    </row>
    <row r="11" spans="1:19">
      <c r="A11" s="50">
        <f>1+A10</f>
        <v>3</v>
      </c>
      <c r="B11" s="46" t="s">
        <v>135</v>
      </c>
      <c r="C11" s="28" t="s">
        <v>206</v>
      </c>
      <c r="D11" s="46"/>
      <c r="E11" s="46">
        <f>7200842+1165</f>
        <v>7202007</v>
      </c>
      <c r="F11" s="46">
        <v>0</v>
      </c>
      <c r="G11" s="46">
        <v>0</v>
      </c>
      <c r="H11" s="46">
        <f>+E11+F11+G11</f>
        <v>7202007</v>
      </c>
      <c r="I11" s="49">
        <f>SUM(H11/141405861*100)</f>
        <v>5.0931460330346559</v>
      </c>
      <c r="J11" s="46">
        <v>7202007</v>
      </c>
      <c r="K11" s="49">
        <f t="shared" si="1"/>
        <v>5.0931460330346559</v>
      </c>
      <c r="L11" s="46">
        <v>0</v>
      </c>
      <c r="M11" s="49">
        <f t="shared" si="2"/>
        <v>5.0931460330346559</v>
      </c>
      <c r="N11" s="46">
        <v>0</v>
      </c>
      <c r="O11" s="49">
        <v>0</v>
      </c>
      <c r="P11" s="46">
        <v>0</v>
      </c>
      <c r="Q11" s="49">
        <f>+(P11/E11)*100</f>
        <v>0</v>
      </c>
      <c r="R11" s="46">
        <v>7202007</v>
      </c>
      <c r="S11" s="29"/>
    </row>
    <row r="12" spans="1:19">
      <c r="A12" s="50">
        <f t="shared" ref="A12:A26" si="4">1+A11</f>
        <v>4</v>
      </c>
      <c r="B12" s="46" t="s">
        <v>221</v>
      </c>
      <c r="C12" s="28" t="s">
        <v>207</v>
      </c>
      <c r="D12" s="46"/>
      <c r="E12" s="46">
        <f>1015381-970000</f>
        <v>45381</v>
      </c>
      <c r="F12" s="46">
        <v>0</v>
      </c>
      <c r="G12" s="46">
        <v>0</v>
      </c>
      <c r="H12" s="46">
        <f t="shared" si="3"/>
        <v>45381</v>
      </c>
      <c r="I12" s="49">
        <f t="shared" si="0"/>
        <v>3.2092729169125457E-2</v>
      </c>
      <c r="J12" s="46">
        <v>45381</v>
      </c>
      <c r="K12" s="49">
        <f t="shared" si="1"/>
        <v>3.2092729169125457E-2</v>
      </c>
      <c r="L12" s="46">
        <v>0</v>
      </c>
      <c r="M12" s="49">
        <f t="shared" si="2"/>
        <v>3.2092729169125457E-2</v>
      </c>
      <c r="N12" s="46">
        <v>0</v>
      </c>
      <c r="O12" s="49">
        <v>0</v>
      </c>
      <c r="P12" s="46">
        <v>0</v>
      </c>
      <c r="Q12" s="49">
        <f>+(P12/E12)*100</f>
        <v>0</v>
      </c>
      <c r="R12" s="46">
        <v>45381</v>
      </c>
    </row>
    <row r="13" spans="1:19">
      <c r="A13" s="50">
        <f t="shared" si="4"/>
        <v>5</v>
      </c>
      <c r="B13" s="46" t="s">
        <v>136</v>
      </c>
      <c r="C13" s="28" t="s">
        <v>154</v>
      </c>
      <c r="D13" s="46"/>
      <c r="E13" s="46">
        <v>1787</v>
      </c>
      <c r="F13" s="46">
        <v>0</v>
      </c>
      <c r="G13" s="46">
        <v>0</v>
      </c>
      <c r="H13" s="46">
        <f t="shared" si="3"/>
        <v>1787</v>
      </c>
      <c r="I13" s="49">
        <f t="shared" si="0"/>
        <v>1.2637382830970494E-3</v>
      </c>
      <c r="J13" s="46">
        <v>1787</v>
      </c>
      <c r="K13" s="49">
        <f t="shared" si="1"/>
        <v>1.2637382830970494E-3</v>
      </c>
      <c r="L13" s="46">
        <v>0</v>
      </c>
      <c r="M13" s="49">
        <f t="shared" si="2"/>
        <v>1.2637382830970494E-3</v>
      </c>
      <c r="N13" s="46">
        <v>0</v>
      </c>
      <c r="O13" s="49">
        <v>0</v>
      </c>
      <c r="P13" s="46">
        <v>0</v>
      </c>
      <c r="Q13" s="49">
        <f t="shared" ref="Q13:Q21" si="5">+(P13/J13)*100</f>
        <v>0</v>
      </c>
      <c r="R13" s="46">
        <v>1787</v>
      </c>
    </row>
    <row r="14" spans="1:19">
      <c r="A14" s="50">
        <f t="shared" si="4"/>
        <v>6</v>
      </c>
      <c r="B14" s="46" t="s">
        <v>137</v>
      </c>
      <c r="C14" s="28" t="s">
        <v>151</v>
      </c>
      <c r="D14" s="46"/>
      <c r="E14" s="46">
        <v>711134</v>
      </c>
      <c r="F14" s="46">
        <v>0</v>
      </c>
      <c r="G14" s="46">
        <v>0</v>
      </c>
      <c r="H14" s="46">
        <f t="shared" si="3"/>
        <v>711134</v>
      </c>
      <c r="I14" s="49">
        <f t="shared" si="0"/>
        <v>0.50290277572016628</v>
      </c>
      <c r="J14" s="46">
        <v>711134</v>
      </c>
      <c r="K14" s="49">
        <f t="shared" si="1"/>
        <v>0.50290277572016628</v>
      </c>
      <c r="L14" s="46">
        <v>0</v>
      </c>
      <c r="M14" s="49">
        <f t="shared" si="2"/>
        <v>0.50290277572016628</v>
      </c>
      <c r="N14" s="46">
        <v>0</v>
      </c>
      <c r="O14" s="49">
        <v>0</v>
      </c>
      <c r="P14" s="46">
        <v>0</v>
      </c>
      <c r="Q14" s="49">
        <f t="shared" si="5"/>
        <v>0</v>
      </c>
      <c r="R14" s="46">
        <v>711134</v>
      </c>
    </row>
    <row r="15" spans="1:19">
      <c r="A15" s="50">
        <f t="shared" si="4"/>
        <v>7</v>
      </c>
      <c r="B15" s="46" t="s">
        <v>138</v>
      </c>
      <c r="C15" s="28" t="s">
        <v>152</v>
      </c>
      <c r="D15" s="46"/>
      <c r="E15" s="46">
        <v>717133</v>
      </c>
      <c r="F15" s="46">
        <v>0</v>
      </c>
      <c r="G15" s="46">
        <v>0</v>
      </c>
      <c r="H15" s="46">
        <f t="shared" si="3"/>
        <v>717133</v>
      </c>
      <c r="I15" s="49">
        <f t="shared" si="0"/>
        <v>0.50714517413107796</v>
      </c>
      <c r="J15" s="46">
        <v>717133</v>
      </c>
      <c r="K15" s="49">
        <f t="shared" si="1"/>
        <v>0.50714517413107796</v>
      </c>
      <c r="L15" s="46">
        <v>0</v>
      </c>
      <c r="M15" s="49">
        <f t="shared" si="2"/>
        <v>0.50714517413107796</v>
      </c>
      <c r="N15" s="46">
        <v>0</v>
      </c>
      <c r="O15" s="49">
        <v>0</v>
      </c>
      <c r="P15" s="46">
        <v>0</v>
      </c>
      <c r="Q15" s="49">
        <f t="shared" si="5"/>
        <v>0</v>
      </c>
      <c r="R15" s="46">
        <v>717133</v>
      </c>
    </row>
    <row r="16" spans="1:19" ht="21">
      <c r="A16" s="50">
        <f t="shared" si="4"/>
        <v>8</v>
      </c>
      <c r="B16" s="34" t="s">
        <v>229</v>
      </c>
      <c r="C16" s="28" t="s">
        <v>153</v>
      </c>
      <c r="D16" s="46"/>
      <c r="E16" s="46">
        <v>86400</v>
      </c>
      <c r="F16" s="46">
        <v>0</v>
      </c>
      <c r="G16" s="46">
        <v>0</v>
      </c>
      <c r="H16" s="46">
        <f t="shared" si="3"/>
        <v>86400</v>
      </c>
      <c r="I16" s="49">
        <f t="shared" si="0"/>
        <v>6.1100720570556835E-2</v>
      </c>
      <c r="J16" s="46">
        <v>86400</v>
      </c>
      <c r="K16" s="49">
        <f t="shared" si="1"/>
        <v>6.1100720570556835E-2</v>
      </c>
      <c r="L16" s="46">
        <v>0</v>
      </c>
      <c r="M16" s="49">
        <f t="shared" si="2"/>
        <v>6.1100720570556835E-2</v>
      </c>
      <c r="N16" s="46">
        <v>0</v>
      </c>
      <c r="O16" s="49">
        <v>0</v>
      </c>
      <c r="P16" s="46">
        <v>0</v>
      </c>
      <c r="Q16" s="49">
        <f t="shared" si="5"/>
        <v>0</v>
      </c>
      <c r="R16" s="46">
        <v>86400</v>
      </c>
    </row>
    <row r="17" spans="1:19">
      <c r="A17" s="50">
        <f t="shared" si="4"/>
        <v>9</v>
      </c>
      <c r="B17" s="46" t="s">
        <v>139</v>
      </c>
      <c r="C17" s="28" t="s">
        <v>155</v>
      </c>
      <c r="D17" s="46"/>
      <c r="E17" s="46">
        <v>192000</v>
      </c>
      <c r="F17" s="46">
        <v>0</v>
      </c>
      <c r="G17" s="46">
        <v>0</v>
      </c>
      <c r="H17" s="46">
        <f t="shared" si="3"/>
        <v>192000</v>
      </c>
      <c r="I17" s="49">
        <f t="shared" si="0"/>
        <v>0.13577937904568185</v>
      </c>
      <c r="J17" s="46">
        <v>192000</v>
      </c>
      <c r="K17" s="49">
        <f t="shared" si="1"/>
        <v>0.13577937904568185</v>
      </c>
      <c r="L17" s="46">
        <v>0</v>
      </c>
      <c r="M17" s="49">
        <f t="shared" si="2"/>
        <v>0.13577937904568185</v>
      </c>
      <c r="N17" s="46">
        <v>0</v>
      </c>
      <c r="O17" s="49">
        <v>0</v>
      </c>
      <c r="P17" s="46">
        <v>0</v>
      </c>
      <c r="Q17" s="49">
        <f t="shared" si="5"/>
        <v>0</v>
      </c>
      <c r="R17" s="46">
        <v>192000</v>
      </c>
    </row>
    <row r="18" spans="1:19">
      <c r="A18" s="50">
        <f t="shared" si="4"/>
        <v>10</v>
      </c>
      <c r="B18" s="46" t="s">
        <v>140</v>
      </c>
      <c r="C18" s="28" t="s">
        <v>156</v>
      </c>
      <c r="D18" s="46"/>
      <c r="E18" s="46">
        <v>1363</v>
      </c>
      <c r="F18" s="46">
        <v>0</v>
      </c>
      <c r="G18" s="46">
        <v>0</v>
      </c>
      <c r="H18" s="46">
        <f t="shared" si="3"/>
        <v>1363</v>
      </c>
      <c r="I18" s="49">
        <f t="shared" si="0"/>
        <v>9.6389215437116846E-4</v>
      </c>
      <c r="J18" s="46">
        <v>1363</v>
      </c>
      <c r="K18" s="49">
        <f t="shared" si="1"/>
        <v>9.6389215437116846E-4</v>
      </c>
      <c r="L18" s="46">
        <v>0</v>
      </c>
      <c r="M18" s="49">
        <f t="shared" si="2"/>
        <v>9.6389215437116846E-4</v>
      </c>
      <c r="N18" s="46">
        <v>0</v>
      </c>
      <c r="O18" s="49">
        <v>0</v>
      </c>
      <c r="P18" s="46">
        <v>0</v>
      </c>
      <c r="Q18" s="49">
        <f t="shared" si="5"/>
        <v>0</v>
      </c>
      <c r="R18" s="46">
        <v>1363</v>
      </c>
    </row>
    <row r="19" spans="1:19">
      <c r="A19" s="50">
        <f t="shared" si="4"/>
        <v>11</v>
      </c>
      <c r="B19" s="46" t="s">
        <v>141</v>
      </c>
      <c r="C19" s="28" t="s">
        <v>163</v>
      </c>
      <c r="D19" s="46"/>
      <c r="E19" s="46">
        <v>3744</v>
      </c>
      <c r="F19" s="46">
        <v>0</v>
      </c>
      <c r="G19" s="46">
        <v>0</v>
      </c>
      <c r="H19" s="46">
        <f t="shared" si="3"/>
        <v>3744</v>
      </c>
      <c r="I19" s="49">
        <f t="shared" si="0"/>
        <v>2.6476978913907959E-3</v>
      </c>
      <c r="J19" s="46">
        <v>3744</v>
      </c>
      <c r="K19" s="49">
        <f t="shared" si="1"/>
        <v>2.6476978913907959E-3</v>
      </c>
      <c r="L19" s="46">
        <v>0</v>
      </c>
      <c r="M19" s="49">
        <f t="shared" si="2"/>
        <v>2.6476978913907959E-3</v>
      </c>
      <c r="N19" s="46">
        <v>0</v>
      </c>
      <c r="O19" s="49">
        <v>0</v>
      </c>
      <c r="P19" s="46">
        <v>0</v>
      </c>
      <c r="Q19" s="49">
        <f t="shared" si="5"/>
        <v>0</v>
      </c>
      <c r="R19" s="46">
        <v>3744</v>
      </c>
    </row>
    <row r="20" spans="1:19">
      <c r="A20" s="48">
        <f t="shared" si="4"/>
        <v>12</v>
      </c>
      <c r="B20" s="51" t="s">
        <v>142</v>
      </c>
      <c r="C20" s="28" t="s">
        <v>157</v>
      </c>
      <c r="D20" s="46"/>
      <c r="E20" s="46">
        <v>11634</v>
      </c>
      <c r="F20" s="46">
        <v>0</v>
      </c>
      <c r="G20" s="46">
        <v>0</v>
      </c>
      <c r="H20" s="46">
        <f t="shared" si="3"/>
        <v>11634</v>
      </c>
      <c r="I20" s="49">
        <f t="shared" si="0"/>
        <v>8.227381749049285E-3</v>
      </c>
      <c r="J20" s="46">
        <v>11634</v>
      </c>
      <c r="K20" s="49">
        <f t="shared" si="1"/>
        <v>8.227381749049285E-3</v>
      </c>
      <c r="L20" s="46">
        <v>0</v>
      </c>
      <c r="M20" s="49">
        <f t="shared" si="2"/>
        <v>8.227381749049285E-3</v>
      </c>
      <c r="N20" s="46">
        <v>0</v>
      </c>
      <c r="O20" s="49">
        <v>0</v>
      </c>
      <c r="P20" s="46">
        <v>0</v>
      </c>
      <c r="Q20" s="49">
        <f t="shared" si="5"/>
        <v>0</v>
      </c>
      <c r="R20" s="46">
        <v>11634</v>
      </c>
    </row>
    <row r="21" spans="1:19">
      <c r="A21" s="50">
        <f t="shared" si="4"/>
        <v>13</v>
      </c>
      <c r="B21" s="46" t="s">
        <v>143</v>
      </c>
      <c r="C21" s="28" t="s">
        <v>158</v>
      </c>
      <c r="D21" s="46"/>
      <c r="E21" s="46">
        <v>104105</v>
      </c>
      <c r="F21" s="46">
        <v>0</v>
      </c>
      <c r="G21" s="46">
        <v>0</v>
      </c>
      <c r="H21" s="46">
        <f t="shared" si="3"/>
        <v>104105</v>
      </c>
      <c r="I21" s="49">
        <f t="shared" si="0"/>
        <v>7.3621417997659935E-2</v>
      </c>
      <c r="J21" s="46">
        <v>104105</v>
      </c>
      <c r="K21" s="49">
        <f t="shared" si="1"/>
        <v>7.3621417997659935E-2</v>
      </c>
      <c r="L21" s="46">
        <v>0</v>
      </c>
      <c r="M21" s="49">
        <f t="shared" si="2"/>
        <v>7.3621417997659935E-2</v>
      </c>
      <c r="N21" s="46">
        <v>0</v>
      </c>
      <c r="O21" s="49">
        <v>0</v>
      </c>
      <c r="P21" s="46">
        <v>0</v>
      </c>
      <c r="Q21" s="49">
        <f t="shared" si="5"/>
        <v>0</v>
      </c>
      <c r="R21" s="46">
        <v>104105</v>
      </c>
    </row>
    <row r="22" spans="1:19">
      <c r="A22" s="50">
        <f t="shared" si="4"/>
        <v>14</v>
      </c>
      <c r="B22" s="46" t="s">
        <v>144</v>
      </c>
      <c r="C22" s="28" t="s">
        <v>159</v>
      </c>
      <c r="D22" s="46"/>
      <c r="E22" s="46">
        <v>3431542</v>
      </c>
      <c r="F22" s="46">
        <v>0</v>
      </c>
      <c r="G22" s="46">
        <v>0</v>
      </c>
      <c r="H22" s="46">
        <f t="shared" si="3"/>
        <v>3431542</v>
      </c>
      <c r="I22" s="49">
        <f t="shared" si="0"/>
        <v>2.4267325100477981</v>
      </c>
      <c r="J22" s="46">
        <v>3431542</v>
      </c>
      <c r="K22" s="49">
        <f t="shared" si="1"/>
        <v>2.4267325100477981</v>
      </c>
      <c r="L22" s="46">
        <v>0</v>
      </c>
      <c r="M22" s="49">
        <f t="shared" si="2"/>
        <v>2.4267325100477981</v>
      </c>
      <c r="N22" s="46">
        <v>0</v>
      </c>
      <c r="O22" s="49">
        <v>0</v>
      </c>
      <c r="P22" s="46">
        <v>0</v>
      </c>
      <c r="Q22" s="49">
        <f>+(P22/E22)*100</f>
        <v>0</v>
      </c>
      <c r="R22" s="46">
        <v>3431542</v>
      </c>
      <c r="S22" s="29"/>
    </row>
    <row r="23" spans="1:19">
      <c r="A23" s="50">
        <f t="shared" si="4"/>
        <v>15</v>
      </c>
      <c r="B23" s="46" t="s">
        <v>145</v>
      </c>
      <c r="C23" s="28" t="s">
        <v>160</v>
      </c>
      <c r="D23" s="46"/>
      <c r="E23" s="46">
        <v>4975352</v>
      </c>
      <c r="F23" s="46">
        <v>0</v>
      </c>
      <c r="G23" s="46">
        <v>0</v>
      </c>
      <c r="H23" s="46">
        <f t="shared" si="3"/>
        <v>4975352</v>
      </c>
      <c r="I23" s="49">
        <f t="shared" si="0"/>
        <v>3.5184906515296417</v>
      </c>
      <c r="J23" s="46">
        <v>4975352</v>
      </c>
      <c r="K23" s="49">
        <f t="shared" si="1"/>
        <v>3.5184906515296417</v>
      </c>
      <c r="L23" s="46">
        <v>0</v>
      </c>
      <c r="M23" s="49">
        <f t="shared" si="2"/>
        <v>3.5184906515296417</v>
      </c>
      <c r="N23" s="46">
        <v>0</v>
      </c>
      <c r="O23" s="49">
        <v>0</v>
      </c>
      <c r="P23" s="46">
        <v>0</v>
      </c>
      <c r="Q23" s="49">
        <f>+(P23/E23)*100</f>
        <v>0</v>
      </c>
      <c r="R23" s="46">
        <v>4975352</v>
      </c>
      <c r="S23" s="29"/>
    </row>
    <row r="24" spans="1:19">
      <c r="A24" s="50">
        <f t="shared" si="4"/>
        <v>16</v>
      </c>
      <c r="B24" s="46" t="s">
        <v>146</v>
      </c>
      <c r="C24" s="28" t="s">
        <v>161</v>
      </c>
      <c r="D24" s="46"/>
      <c r="E24" s="46">
        <v>960046</v>
      </c>
      <c r="F24" s="46">
        <v>0</v>
      </c>
      <c r="G24" s="46">
        <v>0</v>
      </c>
      <c r="H24" s="46">
        <f t="shared" si="3"/>
        <v>960046</v>
      </c>
      <c r="I24" s="49">
        <f t="shared" si="0"/>
        <v>0.67892942570463888</v>
      </c>
      <c r="J24" s="46">
        <v>960046</v>
      </c>
      <c r="K24" s="49">
        <f t="shared" si="1"/>
        <v>0.67892942570463888</v>
      </c>
      <c r="L24" s="46">
        <v>0</v>
      </c>
      <c r="M24" s="49">
        <f t="shared" si="2"/>
        <v>0.67892942570463888</v>
      </c>
      <c r="N24" s="46">
        <v>0</v>
      </c>
      <c r="O24" s="49">
        <v>0</v>
      </c>
      <c r="P24" s="46">
        <v>0</v>
      </c>
      <c r="Q24" s="49">
        <f>+(P24/E24)*100</f>
        <v>0</v>
      </c>
      <c r="R24" s="46">
        <v>960046</v>
      </c>
      <c r="S24" s="29"/>
    </row>
    <row r="25" spans="1:19">
      <c r="A25" s="50">
        <f t="shared" si="4"/>
        <v>17</v>
      </c>
      <c r="B25" s="46" t="s">
        <v>147</v>
      </c>
      <c r="C25" s="28" t="s">
        <v>162</v>
      </c>
      <c r="D25" s="46"/>
      <c r="E25" s="46">
        <v>96000</v>
      </c>
      <c r="F25" s="46">
        <v>0</v>
      </c>
      <c r="G25" s="46">
        <v>0</v>
      </c>
      <c r="H25" s="46">
        <f t="shared" si="3"/>
        <v>96000</v>
      </c>
      <c r="I25" s="49">
        <f t="shared" si="0"/>
        <v>6.7889689522840926E-2</v>
      </c>
      <c r="J25" s="46">
        <v>96000</v>
      </c>
      <c r="K25" s="49">
        <f t="shared" si="1"/>
        <v>6.7889689522840926E-2</v>
      </c>
      <c r="L25" s="46">
        <v>0</v>
      </c>
      <c r="M25" s="49">
        <f t="shared" si="2"/>
        <v>6.7889689522840926E-2</v>
      </c>
      <c r="N25" s="46">
        <v>0</v>
      </c>
      <c r="O25" s="49">
        <v>0</v>
      </c>
      <c r="P25" s="46">
        <v>0</v>
      </c>
      <c r="Q25" s="49">
        <f>+(P25/E25)*100</f>
        <v>0</v>
      </c>
      <c r="R25" s="46">
        <v>96000</v>
      </c>
      <c r="S25" s="29"/>
    </row>
    <row r="26" spans="1:19">
      <c r="A26" s="50">
        <f t="shared" si="4"/>
        <v>18</v>
      </c>
      <c r="B26" s="46" t="s">
        <v>148</v>
      </c>
      <c r="C26" s="28" t="s">
        <v>164</v>
      </c>
      <c r="D26" s="46"/>
      <c r="E26" s="46">
        <v>2017538</v>
      </c>
      <c r="F26" s="46">
        <v>0</v>
      </c>
      <c r="G26" s="46">
        <v>0</v>
      </c>
      <c r="H26" s="46">
        <f t="shared" si="3"/>
        <v>2017538</v>
      </c>
      <c r="I26" s="49">
        <f t="shared" si="0"/>
        <v>1.4267711293805565</v>
      </c>
      <c r="J26" s="46">
        <v>2017538</v>
      </c>
      <c r="K26" s="49">
        <f t="shared" si="1"/>
        <v>1.4267711293805565</v>
      </c>
      <c r="L26" s="46">
        <v>0</v>
      </c>
      <c r="M26" s="49">
        <f t="shared" si="2"/>
        <v>1.4267711293805565</v>
      </c>
      <c r="N26" s="46">
        <v>0</v>
      </c>
      <c r="O26" s="49">
        <v>0</v>
      </c>
      <c r="P26" s="46">
        <v>0</v>
      </c>
      <c r="Q26" s="49">
        <f>+(P26/J26)*100</f>
        <v>0</v>
      </c>
      <c r="R26" s="46">
        <v>2017538</v>
      </c>
      <c r="S26" s="29"/>
    </row>
    <row r="27" spans="1:19">
      <c r="A27" s="48" t="s">
        <v>77</v>
      </c>
      <c r="B27" s="46" t="s">
        <v>78</v>
      </c>
      <c r="C27" s="46"/>
      <c r="D27" s="46">
        <v>0</v>
      </c>
      <c r="E27" s="46">
        <v>0</v>
      </c>
      <c r="F27" s="46">
        <v>0</v>
      </c>
      <c r="G27" s="46">
        <v>0</v>
      </c>
      <c r="H27" s="46">
        <f t="shared" si="3"/>
        <v>0</v>
      </c>
      <c r="I27" s="49">
        <f t="shared" si="0"/>
        <v>0</v>
      </c>
      <c r="J27" s="46">
        <v>0</v>
      </c>
      <c r="K27" s="49">
        <f t="shared" si="1"/>
        <v>0</v>
      </c>
      <c r="L27" s="46">
        <v>0</v>
      </c>
      <c r="M27" s="49">
        <f>SUM((H27+L27)/141405861*100)</f>
        <v>0</v>
      </c>
      <c r="N27" s="46">
        <v>0</v>
      </c>
      <c r="O27" s="49">
        <v>0</v>
      </c>
      <c r="P27" s="46">
        <v>0</v>
      </c>
      <c r="Q27" s="49">
        <v>0</v>
      </c>
      <c r="R27" s="46">
        <v>0</v>
      </c>
    </row>
    <row r="28" spans="1:19">
      <c r="A28" s="48" t="s">
        <v>79</v>
      </c>
      <c r="B28" s="46" t="s">
        <v>80</v>
      </c>
      <c r="C28" s="46"/>
      <c r="D28" s="46">
        <v>0</v>
      </c>
      <c r="E28" s="46">
        <v>0</v>
      </c>
      <c r="F28" s="46">
        <v>0</v>
      </c>
      <c r="G28" s="46">
        <v>0</v>
      </c>
      <c r="H28" s="46">
        <f t="shared" si="3"/>
        <v>0</v>
      </c>
      <c r="I28" s="49">
        <f t="shared" si="0"/>
        <v>0</v>
      </c>
      <c r="J28" s="46">
        <v>0</v>
      </c>
      <c r="K28" s="49">
        <f t="shared" si="1"/>
        <v>0</v>
      </c>
      <c r="L28" s="46">
        <v>0</v>
      </c>
      <c r="M28" s="49">
        <f>SUM((H28+L28)/141405861*100)</f>
        <v>0</v>
      </c>
      <c r="N28" s="46">
        <v>0</v>
      </c>
      <c r="O28" s="49">
        <v>0</v>
      </c>
      <c r="P28" s="46">
        <v>0</v>
      </c>
      <c r="Q28" s="49">
        <f t="shared" ref="Q28:Q56" si="6">+(P28/141405861)*100</f>
        <v>0</v>
      </c>
      <c r="R28" s="46">
        <v>0</v>
      </c>
    </row>
    <row r="29" spans="1:19">
      <c r="A29" s="48" t="s">
        <v>81</v>
      </c>
      <c r="B29" s="46" t="s">
        <v>82</v>
      </c>
      <c r="C29" s="46"/>
      <c r="D29" s="46"/>
      <c r="E29" s="46"/>
      <c r="F29" s="46"/>
      <c r="G29" s="46"/>
      <c r="H29" s="46"/>
      <c r="I29" s="49"/>
      <c r="J29" s="46"/>
      <c r="K29" s="49"/>
      <c r="L29" s="46"/>
      <c r="M29" s="49"/>
      <c r="N29" s="46"/>
      <c r="O29" s="49"/>
      <c r="P29" s="46"/>
      <c r="Q29" s="49"/>
      <c r="R29" s="46"/>
    </row>
    <row r="30" spans="1:19">
      <c r="A30" s="48" t="s">
        <v>56</v>
      </c>
      <c r="B30" s="46" t="s">
        <v>202</v>
      </c>
      <c r="C30" s="46"/>
      <c r="D30" s="46"/>
      <c r="E30" s="46"/>
      <c r="F30" s="46"/>
      <c r="G30" s="46"/>
      <c r="H30" s="46"/>
      <c r="I30" s="49"/>
      <c r="J30" s="46"/>
      <c r="K30" s="49"/>
      <c r="L30" s="46"/>
      <c r="M30" s="49"/>
      <c r="N30" s="46"/>
      <c r="O30" s="49"/>
      <c r="P30" s="46"/>
      <c r="Q30" s="49"/>
      <c r="R30" s="46"/>
    </row>
    <row r="31" spans="1:19">
      <c r="A31" s="48">
        <v>1</v>
      </c>
      <c r="B31" s="46" t="s">
        <v>165</v>
      </c>
      <c r="C31" s="46" t="s">
        <v>183</v>
      </c>
      <c r="D31" s="46"/>
      <c r="E31" s="46">
        <v>260</v>
      </c>
      <c r="F31" s="46">
        <v>0</v>
      </c>
      <c r="G31" s="46">
        <v>0</v>
      </c>
      <c r="H31" s="46">
        <f t="shared" si="3"/>
        <v>260</v>
      </c>
      <c r="I31" s="49">
        <f t="shared" si="0"/>
        <v>1.8386790912436083E-4</v>
      </c>
      <c r="J31" s="46">
        <v>260</v>
      </c>
      <c r="K31" s="49">
        <f t="shared" si="1"/>
        <v>1.8386790912436083E-4</v>
      </c>
      <c r="L31" s="46">
        <v>0</v>
      </c>
      <c r="M31" s="49">
        <f t="shared" ref="M31:M48" si="7">SUM((H31+L31)/141405861*100)</f>
        <v>1.8386790912436083E-4</v>
      </c>
      <c r="N31" s="46">
        <v>0</v>
      </c>
      <c r="O31" s="49">
        <v>0</v>
      </c>
      <c r="P31" s="46">
        <v>0</v>
      </c>
      <c r="Q31" s="49">
        <f>+(P31/141405861)*100</f>
        <v>0</v>
      </c>
      <c r="R31" s="46">
        <v>260</v>
      </c>
    </row>
    <row r="32" spans="1:19">
      <c r="A32" s="50">
        <f>1+A31</f>
        <v>2</v>
      </c>
      <c r="B32" s="46" t="s">
        <v>166</v>
      </c>
      <c r="C32" s="28" t="s">
        <v>184</v>
      </c>
      <c r="D32" s="46"/>
      <c r="E32" s="46">
        <v>4031892</v>
      </c>
      <c r="F32" s="46">
        <v>0</v>
      </c>
      <c r="G32" s="46">
        <v>0</v>
      </c>
      <c r="H32" s="46">
        <f t="shared" si="3"/>
        <v>4031892</v>
      </c>
      <c r="I32" s="49">
        <f t="shared" si="0"/>
        <v>2.8512905840586056</v>
      </c>
      <c r="J32" s="46">
        <v>4031892</v>
      </c>
      <c r="K32" s="49">
        <f t="shared" si="1"/>
        <v>2.8512905840586056</v>
      </c>
      <c r="L32" s="46">
        <v>0</v>
      </c>
      <c r="M32" s="49">
        <f>SUM((H32+L32)/141405861*100)</f>
        <v>2.8512905840586056</v>
      </c>
      <c r="N32" s="46">
        <v>0</v>
      </c>
      <c r="O32" s="49">
        <v>0</v>
      </c>
      <c r="P32" s="46">
        <v>0</v>
      </c>
      <c r="Q32" s="49">
        <f t="shared" si="6"/>
        <v>0</v>
      </c>
      <c r="R32" s="46">
        <v>4031892</v>
      </c>
    </row>
    <row r="33" spans="1:18">
      <c r="A33" s="50">
        <f t="shared" ref="A33:A48" si="8">1+A32</f>
        <v>3</v>
      </c>
      <c r="B33" s="46" t="s">
        <v>167</v>
      </c>
      <c r="C33" s="28" t="s">
        <v>185</v>
      </c>
      <c r="D33" s="46"/>
      <c r="E33" s="46">
        <f>1378168+350000+500000</f>
        <v>2228168</v>
      </c>
      <c r="F33" s="46">
        <v>0</v>
      </c>
      <c r="G33" s="46">
        <v>0</v>
      </c>
      <c r="H33" s="46">
        <f t="shared" si="3"/>
        <v>2228168</v>
      </c>
      <c r="I33" s="49">
        <f t="shared" si="0"/>
        <v>1.5757253512992646</v>
      </c>
      <c r="J33" s="46">
        <f>1728168+500000</f>
        <v>2228168</v>
      </c>
      <c r="K33" s="49">
        <f t="shared" si="1"/>
        <v>1.5757253512992646</v>
      </c>
      <c r="L33" s="46">
        <v>0</v>
      </c>
      <c r="M33" s="49">
        <f t="shared" si="7"/>
        <v>1.5757253512992646</v>
      </c>
      <c r="N33" s="46">
        <v>0</v>
      </c>
      <c r="O33" s="49">
        <v>0</v>
      </c>
      <c r="P33" s="46">
        <v>0</v>
      </c>
      <c r="Q33" s="49">
        <f t="shared" si="6"/>
        <v>0</v>
      </c>
      <c r="R33" s="46">
        <f>1728168+500000</f>
        <v>2228168</v>
      </c>
    </row>
    <row r="34" spans="1:18">
      <c r="A34" s="50">
        <f t="shared" si="8"/>
        <v>4</v>
      </c>
      <c r="B34" s="46" t="s">
        <v>168</v>
      </c>
      <c r="C34" s="28" t="s">
        <v>186</v>
      </c>
      <c r="D34" s="46"/>
      <c r="E34" s="46">
        <v>8113564</v>
      </c>
      <c r="F34" s="46">
        <v>0</v>
      </c>
      <c r="G34" s="46">
        <v>0</v>
      </c>
      <c r="H34" s="46">
        <f t="shared" si="3"/>
        <v>8113564</v>
      </c>
      <c r="I34" s="49">
        <f t="shared" si="0"/>
        <v>5.737784800871867</v>
      </c>
      <c r="J34" s="46">
        <v>8113564</v>
      </c>
      <c r="K34" s="49">
        <f t="shared" si="1"/>
        <v>5.737784800871867</v>
      </c>
      <c r="L34" s="46">
        <v>0</v>
      </c>
      <c r="M34" s="49">
        <f t="shared" si="7"/>
        <v>5.737784800871867</v>
      </c>
      <c r="N34" s="46">
        <v>0</v>
      </c>
      <c r="O34" s="49">
        <v>0</v>
      </c>
      <c r="P34" s="46">
        <v>0</v>
      </c>
      <c r="Q34" s="49">
        <f t="shared" si="6"/>
        <v>0</v>
      </c>
      <c r="R34" s="46">
        <v>8113564</v>
      </c>
    </row>
    <row r="35" spans="1:18">
      <c r="A35" s="50">
        <f t="shared" si="8"/>
        <v>5</v>
      </c>
      <c r="B35" s="46" t="s">
        <v>169</v>
      </c>
      <c r="C35" s="28" t="s">
        <v>187</v>
      </c>
      <c r="D35" s="46"/>
      <c r="E35" s="46">
        <f>2500160+400000</f>
        <v>2900160</v>
      </c>
      <c r="F35" s="46">
        <v>0</v>
      </c>
      <c r="G35" s="46">
        <v>0</v>
      </c>
      <c r="H35" s="46">
        <f t="shared" si="3"/>
        <v>2900160</v>
      </c>
      <c r="I35" s="49">
        <f t="shared" si="0"/>
        <v>2.0509475204850243</v>
      </c>
      <c r="J35" s="46">
        <f>2500160+400000</f>
        <v>2900160</v>
      </c>
      <c r="K35" s="49">
        <f t="shared" si="1"/>
        <v>2.0509475204850243</v>
      </c>
      <c r="L35" s="46">
        <v>0</v>
      </c>
      <c r="M35" s="49">
        <f t="shared" si="7"/>
        <v>2.0509475204850243</v>
      </c>
      <c r="N35" s="46">
        <v>0</v>
      </c>
      <c r="O35" s="49">
        <v>0</v>
      </c>
      <c r="P35" s="46">
        <v>0</v>
      </c>
      <c r="Q35" s="49">
        <f t="shared" si="6"/>
        <v>0</v>
      </c>
      <c r="R35" s="46">
        <f>2500160+400000</f>
        <v>2900160</v>
      </c>
    </row>
    <row r="36" spans="1:18">
      <c r="A36" s="50">
        <f t="shared" si="8"/>
        <v>6</v>
      </c>
      <c r="B36" s="46" t="s">
        <v>170</v>
      </c>
      <c r="C36" s="28" t="s">
        <v>188</v>
      </c>
      <c r="D36" s="46"/>
      <c r="E36" s="34">
        <f>16803577+200000</f>
        <v>17003577</v>
      </c>
      <c r="F36" s="46">
        <v>0</v>
      </c>
      <c r="G36" s="46">
        <v>0</v>
      </c>
      <c r="H36" s="46">
        <f t="shared" si="3"/>
        <v>17003577</v>
      </c>
      <c r="I36" s="49">
        <f>SUM(H36/141405861*100)</f>
        <v>12.024662117788738</v>
      </c>
      <c r="J36" s="46">
        <v>17003577</v>
      </c>
      <c r="K36" s="49">
        <f t="shared" si="1"/>
        <v>12.024662117788738</v>
      </c>
      <c r="L36" s="46">
        <v>0</v>
      </c>
      <c r="M36" s="49">
        <f t="shared" si="7"/>
        <v>12.024662117788738</v>
      </c>
      <c r="N36" s="46">
        <v>0</v>
      </c>
      <c r="O36" s="49">
        <v>0</v>
      </c>
      <c r="P36" s="46">
        <v>0</v>
      </c>
      <c r="Q36" s="49">
        <f t="shared" si="6"/>
        <v>0</v>
      </c>
      <c r="R36" s="46">
        <v>17003577</v>
      </c>
    </row>
    <row r="37" spans="1:18">
      <c r="A37" s="50">
        <f t="shared" si="8"/>
        <v>7</v>
      </c>
      <c r="B37" s="46" t="s">
        <v>171</v>
      </c>
      <c r="C37" s="28" t="s">
        <v>189</v>
      </c>
      <c r="D37" s="46"/>
      <c r="E37" s="46">
        <f>28334773-90000</f>
        <v>28244773</v>
      </c>
      <c r="F37" s="46">
        <v>0</v>
      </c>
      <c r="G37" s="46">
        <v>0</v>
      </c>
      <c r="H37" s="46">
        <f t="shared" si="3"/>
        <v>28244773</v>
      </c>
      <c r="I37" s="49">
        <f t="shared" si="0"/>
        <v>19.97425905847</v>
      </c>
      <c r="J37" s="46">
        <v>28244773</v>
      </c>
      <c r="K37" s="49">
        <f t="shared" si="1"/>
        <v>19.97425905847</v>
      </c>
      <c r="L37" s="46">
        <v>0</v>
      </c>
      <c r="M37" s="49">
        <f t="shared" si="7"/>
        <v>19.97425905847</v>
      </c>
      <c r="N37" s="46">
        <v>0</v>
      </c>
      <c r="O37" s="49">
        <v>0</v>
      </c>
      <c r="P37" s="46">
        <v>0</v>
      </c>
      <c r="Q37" s="49">
        <f t="shared" si="6"/>
        <v>0</v>
      </c>
      <c r="R37" s="46">
        <v>28244773</v>
      </c>
    </row>
    <row r="38" spans="1:18">
      <c r="A38" s="50">
        <f t="shared" si="8"/>
        <v>8</v>
      </c>
      <c r="B38" s="46" t="s">
        <v>172</v>
      </c>
      <c r="C38" s="28" t="s">
        <v>190</v>
      </c>
      <c r="D38" s="46"/>
      <c r="E38" s="46">
        <v>4785369</v>
      </c>
      <c r="F38" s="46">
        <v>0</v>
      </c>
      <c r="G38" s="46">
        <v>0</v>
      </c>
      <c r="H38" s="46">
        <f t="shared" si="3"/>
        <v>4785369</v>
      </c>
      <c r="I38" s="49">
        <f t="shared" si="0"/>
        <v>3.3841376631482061</v>
      </c>
      <c r="J38" s="46">
        <v>4785369</v>
      </c>
      <c r="K38" s="49">
        <f t="shared" si="1"/>
        <v>3.3841376631482061</v>
      </c>
      <c r="L38" s="46">
        <v>0</v>
      </c>
      <c r="M38" s="49">
        <f t="shared" si="7"/>
        <v>3.3841376631482061</v>
      </c>
      <c r="N38" s="46">
        <v>0</v>
      </c>
      <c r="O38" s="49">
        <v>0</v>
      </c>
      <c r="P38" s="46">
        <v>0</v>
      </c>
      <c r="Q38" s="49">
        <f>+(P38/E38)*100</f>
        <v>0</v>
      </c>
      <c r="R38" s="46">
        <v>4785369</v>
      </c>
    </row>
    <row r="39" spans="1:18">
      <c r="A39" s="50">
        <v>0</v>
      </c>
      <c r="B39" s="46" t="s">
        <v>173</v>
      </c>
      <c r="C39" s="28" t="s">
        <v>191</v>
      </c>
      <c r="D39" s="46"/>
      <c r="E39" s="46">
        <v>0</v>
      </c>
      <c r="F39" s="46">
        <v>0</v>
      </c>
      <c r="G39" s="46">
        <v>0</v>
      </c>
      <c r="H39" s="46">
        <f t="shared" si="3"/>
        <v>0</v>
      </c>
      <c r="I39" s="49">
        <f t="shared" si="0"/>
        <v>0</v>
      </c>
      <c r="J39" s="46">
        <v>0</v>
      </c>
      <c r="K39" s="49">
        <v>0</v>
      </c>
      <c r="L39" s="46">
        <v>0</v>
      </c>
      <c r="M39" s="49">
        <f t="shared" si="7"/>
        <v>0</v>
      </c>
      <c r="N39" s="46">
        <v>0</v>
      </c>
      <c r="O39" s="49">
        <v>0</v>
      </c>
      <c r="P39" s="46">
        <v>0</v>
      </c>
      <c r="Q39" s="49">
        <v>0</v>
      </c>
      <c r="R39" s="46">
        <v>0</v>
      </c>
    </row>
    <row r="40" spans="1:18">
      <c r="A40" s="50">
        <f>1+A38</f>
        <v>9</v>
      </c>
      <c r="B40" s="46" t="s">
        <v>174</v>
      </c>
      <c r="C40" s="28" t="s">
        <v>192</v>
      </c>
      <c r="D40" s="46"/>
      <c r="E40" s="46">
        <v>8000</v>
      </c>
      <c r="F40" s="46">
        <v>0</v>
      </c>
      <c r="G40" s="46">
        <v>0</v>
      </c>
      <c r="H40" s="46">
        <f t="shared" si="3"/>
        <v>8000</v>
      </c>
      <c r="I40" s="49">
        <f t="shared" si="0"/>
        <v>5.6574741269034105E-3</v>
      </c>
      <c r="J40" s="46">
        <v>8000</v>
      </c>
      <c r="K40" s="49">
        <f t="shared" si="1"/>
        <v>5.6574741269034105E-3</v>
      </c>
      <c r="L40" s="46">
        <v>0</v>
      </c>
      <c r="M40" s="49">
        <f t="shared" si="7"/>
        <v>5.6574741269034105E-3</v>
      </c>
      <c r="N40" s="46">
        <v>0</v>
      </c>
      <c r="O40" s="49">
        <v>0</v>
      </c>
      <c r="P40" s="46">
        <v>0</v>
      </c>
      <c r="Q40" s="49">
        <f t="shared" si="6"/>
        <v>0</v>
      </c>
      <c r="R40" s="46">
        <v>8000</v>
      </c>
    </row>
    <row r="41" spans="1:18">
      <c r="A41" s="48">
        <f t="shared" si="8"/>
        <v>10</v>
      </c>
      <c r="B41" s="51" t="s">
        <v>175</v>
      </c>
      <c r="C41" s="28" t="s">
        <v>193</v>
      </c>
      <c r="D41" s="46"/>
      <c r="E41" s="46">
        <v>7000</v>
      </c>
      <c r="F41" s="46">
        <v>0</v>
      </c>
      <c r="G41" s="46">
        <v>0</v>
      </c>
      <c r="H41" s="46">
        <f t="shared" si="3"/>
        <v>7000</v>
      </c>
      <c r="I41" s="49">
        <f t="shared" si="0"/>
        <v>4.9502898610404838E-3</v>
      </c>
      <c r="J41" s="46">
        <v>7000</v>
      </c>
      <c r="K41" s="49">
        <f t="shared" si="1"/>
        <v>4.9502898610404838E-3</v>
      </c>
      <c r="L41" s="46">
        <v>0</v>
      </c>
      <c r="M41" s="49">
        <f t="shared" si="7"/>
        <v>4.9502898610404838E-3</v>
      </c>
      <c r="N41" s="46">
        <v>0</v>
      </c>
      <c r="O41" s="49">
        <v>0</v>
      </c>
      <c r="P41" s="46">
        <v>0</v>
      </c>
      <c r="Q41" s="49">
        <f t="shared" si="6"/>
        <v>0</v>
      </c>
      <c r="R41" s="46">
        <v>7000</v>
      </c>
    </row>
    <row r="42" spans="1:18">
      <c r="A42" s="50">
        <f t="shared" si="8"/>
        <v>11</v>
      </c>
      <c r="B42" s="46" t="s">
        <v>176</v>
      </c>
      <c r="C42" s="28" t="s">
        <v>194</v>
      </c>
      <c r="D42" s="46"/>
      <c r="E42" s="46">
        <v>7000</v>
      </c>
      <c r="F42" s="46">
        <v>0</v>
      </c>
      <c r="G42" s="46">
        <v>0</v>
      </c>
      <c r="H42" s="46">
        <f t="shared" si="3"/>
        <v>7000</v>
      </c>
      <c r="I42" s="49">
        <f t="shared" si="0"/>
        <v>4.9502898610404838E-3</v>
      </c>
      <c r="J42" s="46">
        <v>7000</v>
      </c>
      <c r="K42" s="49">
        <f t="shared" si="1"/>
        <v>4.9502898610404838E-3</v>
      </c>
      <c r="L42" s="46">
        <v>0</v>
      </c>
      <c r="M42" s="49">
        <f t="shared" si="7"/>
        <v>4.9502898610404838E-3</v>
      </c>
      <c r="N42" s="46">
        <v>0</v>
      </c>
      <c r="O42" s="49">
        <v>0</v>
      </c>
      <c r="P42" s="46">
        <v>0</v>
      </c>
      <c r="Q42" s="49">
        <f t="shared" si="6"/>
        <v>0</v>
      </c>
      <c r="R42" s="46">
        <v>7000</v>
      </c>
    </row>
    <row r="43" spans="1:18">
      <c r="A43" s="50">
        <f t="shared" si="8"/>
        <v>12</v>
      </c>
      <c r="B43" s="46" t="s">
        <v>177</v>
      </c>
      <c r="C43" s="28" t="s">
        <v>195</v>
      </c>
      <c r="D43" s="46"/>
      <c r="E43" s="46">
        <v>7000</v>
      </c>
      <c r="F43" s="46">
        <v>0</v>
      </c>
      <c r="G43" s="46">
        <v>0</v>
      </c>
      <c r="H43" s="46">
        <f t="shared" si="3"/>
        <v>7000</v>
      </c>
      <c r="I43" s="49">
        <f t="shared" si="0"/>
        <v>4.9502898610404838E-3</v>
      </c>
      <c r="J43" s="46">
        <v>7000</v>
      </c>
      <c r="K43" s="49">
        <f t="shared" si="1"/>
        <v>4.9502898610404838E-3</v>
      </c>
      <c r="L43" s="46">
        <v>0</v>
      </c>
      <c r="M43" s="49">
        <f t="shared" si="7"/>
        <v>4.9502898610404838E-3</v>
      </c>
      <c r="N43" s="46">
        <v>0</v>
      </c>
      <c r="O43" s="49">
        <v>0</v>
      </c>
      <c r="P43" s="46">
        <v>0</v>
      </c>
      <c r="Q43" s="49">
        <f t="shared" si="6"/>
        <v>0</v>
      </c>
      <c r="R43" s="46">
        <v>7000</v>
      </c>
    </row>
    <row r="44" spans="1:18">
      <c r="A44" s="50">
        <f t="shared" si="8"/>
        <v>13</v>
      </c>
      <c r="B44" s="46" t="s">
        <v>178</v>
      </c>
      <c r="C44" s="46" t="s">
        <v>196</v>
      </c>
      <c r="D44" s="46"/>
      <c r="E44" s="46">
        <v>7000</v>
      </c>
      <c r="F44" s="46">
        <v>0</v>
      </c>
      <c r="G44" s="46">
        <v>0</v>
      </c>
      <c r="H44" s="46">
        <f t="shared" si="3"/>
        <v>7000</v>
      </c>
      <c r="I44" s="49">
        <f t="shared" si="0"/>
        <v>4.9502898610404838E-3</v>
      </c>
      <c r="J44" s="46">
        <v>7000</v>
      </c>
      <c r="K44" s="49">
        <f t="shared" si="1"/>
        <v>4.9502898610404838E-3</v>
      </c>
      <c r="L44" s="46">
        <v>0</v>
      </c>
      <c r="M44" s="49">
        <f t="shared" si="7"/>
        <v>4.9502898610404838E-3</v>
      </c>
      <c r="N44" s="46">
        <v>0</v>
      </c>
      <c r="O44" s="49">
        <v>0</v>
      </c>
      <c r="P44" s="46">
        <v>0</v>
      </c>
      <c r="Q44" s="49">
        <f t="shared" si="6"/>
        <v>0</v>
      </c>
      <c r="R44" s="46">
        <v>7000</v>
      </c>
    </row>
    <row r="45" spans="1:18">
      <c r="A45" s="50">
        <f t="shared" si="8"/>
        <v>14</v>
      </c>
      <c r="B45" s="46" t="s">
        <v>179</v>
      </c>
      <c r="C45" s="28" t="s">
        <v>197</v>
      </c>
      <c r="D45" s="46"/>
      <c r="E45" s="46">
        <v>3494</v>
      </c>
      <c r="F45" s="46">
        <v>0</v>
      </c>
      <c r="G45" s="46">
        <v>0</v>
      </c>
      <c r="H45" s="46">
        <f t="shared" si="3"/>
        <v>3494</v>
      </c>
      <c r="I45" s="49">
        <f t="shared" si="0"/>
        <v>2.4709018249250646E-3</v>
      </c>
      <c r="J45" s="46">
        <v>3494</v>
      </c>
      <c r="K45" s="49">
        <f t="shared" si="1"/>
        <v>2.4709018249250646E-3</v>
      </c>
      <c r="L45" s="46">
        <v>0</v>
      </c>
      <c r="M45" s="49">
        <f t="shared" si="7"/>
        <v>2.4709018249250646E-3</v>
      </c>
      <c r="N45" s="46">
        <v>0</v>
      </c>
      <c r="O45" s="49">
        <v>0</v>
      </c>
      <c r="P45" s="46">
        <v>0</v>
      </c>
      <c r="Q45" s="49">
        <f t="shared" si="6"/>
        <v>0</v>
      </c>
      <c r="R45" s="46">
        <v>3494</v>
      </c>
    </row>
    <row r="46" spans="1:18">
      <c r="A46" s="50">
        <f t="shared" si="8"/>
        <v>15</v>
      </c>
      <c r="B46" s="46" t="s">
        <v>180</v>
      </c>
      <c r="C46" s="46" t="s">
        <v>198</v>
      </c>
      <c r="D46" s="46"/>
      <c r="E46" s="46">
        <v>7000</v>
      </c>
      <c r="F46" s="46">
        <v>0</v>
      </c>
      <c r="G46" s="46">
        <v>0</v>
      </c>
      <c r="H46" s="46">
        <f t="shared" si="3"/>
        <v>7000</v>
      </c>
      <c r="I46" s="49">
        <f t="shared" si="0"/>
        <v>4.9502898610404838E-3</v>
      </c>
      <c r="J46" s="46">
        <v>7000</v>
      </c>
      <c r="K46" s="49">
        <f t="shared" si="1"/>
        <v>4.9502898610404838E-3</v>
      </c>
      <c r="L46" s="46">
        <v>0</v>
      </c>
      <c r="M46" s="49">
        <f t="shared" si="7"/>
        <v>4.9502898610404838E-3</v>
      </c>
      <c r="N46" s="46">
        <v>0</v>
      </c>
      <c r="O46" s="49">
        <v>0</v>
      </c>
      <c r="P46" s="46">
        <v>0</v>
      </c>
      <c r="Q46" s="49">
        <f t="shared" si="6"/>
        <v>0</v>
      </c>
      <c r="R46" s="46">
        <v>7000</v>
      </c>
    </row>
    <row r="47" spans="1:18">
      <c r="A47" s="50">
        <f t="shared" si="8"/>
        <v>16</v>
      </c>
      <c r="B47" s="46" t="s">
        <v>181</v>
      </c>
      <c r="C47" s="28" t="s">
        <v>199</v>
      </c>
      <c r="D47" s="46"/>
      <c r="E47" s="46">
        <v>160000</v>
      </c>
      <c r="F47" s="46">
        <v>0</v>
      </c>
      <c r="G47" s="46">
        <v>0</v>
      </c>
      <c r="H47" s="46">
        <f t="shared" si="3"/>
        <v>160000</v>
      </c>
      <c r="I47" s="49">
        <f t="shared" si="0"/>
        <v>0.1131494825380682</v>
      </c>
      <c r="J47" s="46">
        <v>160000</v>
      </c>
      <c r="K47" s="49">
        <f t="shared" si="1"/>
        <v>0.1131494825380682</v>
      </c>
      <c r="L47" s="46">
        <v>0</v>
      </c>
      <c r="M47" s="49">
        <f t="shared" si="7"/>
        <v>0.1131494825380682</v>
      </c>
      <c r="N47" s="46">
        <v>0</v>
      </c>
      <c r="O47" s="49">
        <v>0</v>
      </c>
      <c r="P47" s="46">
        <v>0</v>
      </c>
      <c r="Q47" s="49">
        <f t="shared" si="6"/>
        <v>0</v>
      </c>
      <c r="R47" s="46">
        <v>160000</v>
      </c>
    </row>
    <row r="48" spans="1:18">
      <c r="A48" s="50">
        <f t="shared" si="8"/>
        <v>17</v>
      </c>
      <c r="B48" s="46" t="s">
        <v>182</v>
      </c>
      <c r="C48" s="28" t="s">
        <v>200</v>
      </c>
      <c r="D48" s="46"/>
      <c r="E48" s="46">
        <v>260</v>
      </c>
      <c r="F48" s="46">
        <v>0</v>
      </c>
      <c r="G48" s="46">
        <v>0</v>
      </c>
      <c r="H48" s="46">
        <f t="shared" si="3"/>
        <v>260</v>
      </c>
      <c r="I48" s="49">
        <f t="shared" si="0"/>
        <v>1.8386790912436083E-4</v>
      </c>
      <c r="J48" s="46">
        <v>260</v>
      </c>
      <c r="K48" s="49">
        <f t="shared" si="1"/>
        <v>1.8386790912436083E-4</v>
      </c>
      <c r="L48" s="46">
        <v>0</v>
      </c>
      <c r="M48" s="49">
        <f t="shared" si="7"/>
        <v>1.8386790912436083E-4</v>
      </c>
      <c r="N48" s="46">
        <v>0</v>
      </c>
      <c r="O48" s="49">
        <v>0</v>
      </c>
      <c r="P48" s="46">
        <v>0</v>
      </c>
      <c r="Q48" s="49">
        <f t="shared" si="6"/>
        <v>0</v>
      </c>
      <c r="R48" s="46">
        <v>260</v>
      </c>
    </row>
    <row r="49" spans="1:18">
      <c r="A49" s="50">
        <v>19</v>
      </c>
      <c r="B49" s="34" t="s">
        <v>227</v>
      </c>
      <c r="C49" s="28" t="s">
        <v>220</v>
      </c>
      <c r="D49" s="46"/>
      <c r="E49" s="46">
        <v>896310</v>
      </c>
      <c r="F49" s="46">
        <v>0</v>
      </c>
      <c r="G49" s="46">
        <v>0</v>
      </c>
      <c r="H49" s="46">
        <f>+E49+F49+G49</f>
        <v>896310</v>
      </c>
      <c r="I49" s="49">
        <f>SUM(H49/141405861*100)</f>
        <v>0.63385632933559954</v>
      </c>
      <c r="J49" s="46">
        <v>896310</v>
      </c>
      <c r="K49" s="49">
        <f>+(J49/141405861*100)</f>
        <v>0.63385632933559954</v>
      </c>
      <c r="L49" s="46">
        <v>0</v>
      </c>
      <c r="M49" s="49">
        <f>SUM((H49+L49)/141405861*100)</f>
        <v>0.63385632933559954</v>
      </c>
      <c r="N49" s="46">
        <v>0</v>
      </c>
      <c r="O49" s="49">
        <v>0</v>
      </c>
      <c r="P49" s="46">
        <v>0</v>
      </c>
      <c r="Q49" s="49">
        <f>+(P49/E49)*100</f>
        <v>0</v>
      </c>
      <c r="R49" s="46">
        <v>896310</v>
      </c>
    </row>
    <row r="50" spans="1:18">
      <c r="A50" s="50">
        <v>20</v>
      </c>
      <c r="B50" s="46" t="s">
        <v>222</v>
      </c>
      <c r="C50" s="46" t="s">
        <v>224</v>
      </c>
      <c r="D50" s="46"/>
      <c r="E50" s="46">
        <v>100</v>
      </c>
      <c r="F50" s="46">
        <v>0</v>
      </c>
      <c r="G50" s="46">
        <v>0</v>
      </c>
      <c r="H50" s="46">
        <f>+E50+F50+G50</f>
        <v>100</v>
      </c>
      <c r="I50" s="49">
        <f>SUM(H50/141405861*100)</f>
        <v>7.0718426586292626E-5</v>
      </c>
      <c r="J50" s="46">
        <v>100</v>
      </c>
      <c r="K50" s="49">
        <f>+(J50/141405861*100)</f>
        <v>7.0718426586292626E-5</v>
      </c>
      <c r="L50" s="46">
        <v>0</v>
      </c>
      <c r="M50" s="49">
        <f>SUM((H50+L50)/141405861*100)</f>
        <v>7.0718426586292626E-5</v>
      </c>
      <c r="N50" s="46">
        <v>0</v>
      </c>
      <c r="O50" s="49">
        <v>0</v>
      </c>
      <c r="P50" s="46">
        <v>0</v>
      </c>
      <c r="Q50" s="49">
        <f>+(P50/141405861)*100</f>
        <v>0</v>
      </c>
      <c r="R50" s="46">
        <v>100</v>
      </c>
    </row>
    <row r="51" spans="1:18">
      <c r="A51" s="50"/>
      <c r="B51" s="46"/>
      <c r="C51" s="46"/>
      <c r="D51" s="46"/>
      <c r="E51" s="46"/>
      <c r="F51" s="46"/>
      <c r="G51" s="46"/>
      <c r="H51" s="46"/>
      <c r="I51" s="49"/>
      <c r="J51" s="46"/>
      <c r="K51" s="49"/>
      <c r="L51" s="46"/>
      <c r="M51" s="49"/>
      <c r="N51" s="46"/>
      <c r="O51" s="49"/>
      <c r="P51" s="46"/>
      <c r="Q51" s="49"/>
      <c r="R51" s="46"/>
    </row>
    <row r="52" spans="1:18">
      <c r="A52" s="50"/>
      <c r="B52" s="46"/>
      <c r="C52" s="46"/>
      <c r="D52" s="46"/>
      <c r="E52" s="46"/>
      <c r="F52" s="46"/>
      <c r="G52" s="46"/>
      <c r="H52" s="46"/>
      <c r="I52" s="49"/>
      <c r="J52" s="46"/>
      <c r="K52" s="49"/>
      <c r="L52" s="46"/>
      <c r="M52" s="49"/>
      <c r="N52" s="46"/>
      <c r="O52" s="49"/>
      <c r="P52" s="46"/>
      <c r="Q52" s="49"/>
      <c r="R52" s="46"/>
    </row>
    <row r="53" spans="1:18">
      <c r="A53" s="50"/>
      <c r="B53" s="46"/>
      <c r="C53" s="46"/>
      <c r="D53" s="46"/>
      <c r="E53" s="46"/>
      <c r="F53" s="46"/>
      <c r="G53" s="46"/>
      <c r="H53" s="46"/>
      <c r="I53" s="49"/>
      <c r="J53" s="46"/>
      <c r="K53" s="49"/>
      <c r="L53" s="46"/>
      <c r="M53" s="49"/>
      <c r="N53" s="46"/>
      <c r="O53" s="49"/>
      <c r="P53" s="46"/>
      <c r="Q53" s="49"/>
      <c r="R53" s="46"/>
    </row>
    <row r="54" spans="1:18">
      <c r="A54" s="48" t="s">
        <v>58</v>
      </c>
      <c r="B54" s="46" t="s">
        <v>203</v>
      </c>
      <c r="C54" s="46"/>
      <c r="D54" s="46"/>
      <c r="E54" s="46"/>
      <c r="F54" s="46"/>
      <c r="G54" s="46"/>
      <c r="H54" s="46"/>
      <c r="I54" s="49"/>
      <c r="J54" s="46"/>
      <c r="K54" s="49"/>
      <c r="L54" s="46"/>
      <c r="M54" s="49"/>
      <c r="N54" s="46"/>
      <c r="O54" s="49"/>
      <c r="P54" s="46"/>
      <c r="Q54" s="49">
        <f t="shared" si="6"/>
        <v>0</v>
      </c>
      <c r="R54" s="46"/>
    </row>
    <row r="55" spans="1:18">
      <c r="A55" s="48">
        <v>1</v>
      </c>
      <c r="B55" s="46" t="s">
        <v>208</v>
      </c>
      <c r="C55" s="28" t="s">
        <v>205</v>
      </c>
      <c r="D55" s="46"/>
      <c r="E55" s="46">
        <v>27200</v>
      </c>
      <c r="F55" s="46">
        <v>0</v>
      </c>
      <c r="G55" s="46">
        <v>0</v>
      </c>
      <c r="H55" s="46">
        <f>+E55+F55+G55</f>
        <v>27200</v>
      </c>
      <c r="I55" s="49">
        <f>SUM(H55/141405861*100)</f>
        <v>1.9235412031471597E-2</v>
      </c>
      <c r="J55" s="46">
        <v>27200</v>
      </c>
      <c r="K55" s="49">
        <f t="shared" si="1"/>
        <v>1.9235412031471597E-2</v>
      </c>
      <c r="L55" s="46">
        <v>0</v>
      </c>
      <c r="M55" s="49">
        <f>SUM((H55+L55)/141405861*100)</f>
        <v>1.9235412031471597E-2</v>
      </c>
      <c r="N55" s="46">
        <v>0</v>
      </c>
      <c r="O55" s="49">
        <v>0</v>
      </c>
      <c r="P55" s="46">
        <v>0</v>
      </c>
      <c r="Q55" s="49">
        <f t="shared" si="6"/>
        <v>0</v>
      </c>
      <c r="R55" s="46">
        <v>27200</v>
      </c>
    </row>
    <row r="56" spans="1:18" ht="30">
      <c r="A56" s="50">
        <v>2</v>
      </c>
      <c r="B56" s="51" t="s">
        <v>219</v>
      </c>
      <c r="C56" s="28" t="s">
        <v>204</v>
      </c>
      <c r="D56" s="46"/>
      <c r="E56" s="46">
        <f>3641636+1165</f>
        <v>3642801</v>
      </c>
      <c r="F56" s="46">
        <v>0</v>
      </c>
      <c r="G56" s="46">
        <v>0</v>
      </c>
      <c r="H56" s="46">
        <f>+E56+F56+G56</f>
        <v>3642801</v>
      </c>
      <c r="I56" s="49">
        <f>SUM(H56/141405861*100)</f>
        <v>2.5761315508697336</v>
      </c>
      <c r="J56" s="46">
        <v>3642801</v>
      </c>
      <c r="K56" s="49">
        <f t="shared" si="1"/>
        <v>2.5761315508697336</v>
      </c>
      <c r="L56" s="46">
        <v>0</v>
      </c>
      <c r="M56" s="49">
        <f>SUM((H56+L56)/141405861*100)</f>
        <v>2.5761315508697336</v>
      </c>
      <c r="N56" s="46">
        <v>0</v>
      </c>
      <c r="O56" s="49">
        <v>0</v>
      </c>
      <c r="P56" s="46">
        <v>0</v>
      </c>
      <c r="Q56" s="49">
        <f t="shared" si="6"/>
        <v>0</v>
      </c>
      <c r="R56" s="46">
        <v>3642801</v>
      </c>
    </row>
    <row r="57" spans="1:18">
      <c r="A57" s="48">
        <v>3</v>
      </c>
      <c r="B57" s="46" t="s">
        <v>223</v>
      </c>
      <c r="C57" s="46" t="s">
        <v>225</v>
      </c>
      <c r="D57" s="46"/>
      <c r="E57" s="46">
        <v>100</v>
      </c>
      <c r="F57" s="46">
        <v>0</v>
      </c>
      <c r="G57" s="46">
        <v>0</v>
      </c>
      <c r="H57" s="46">
        <f>+E57+F57+G57</f>
        <v>100</v>
      </c>
      <c r="I57" s="49">
        <f>SUM(H57/141405861*100)</f>
        <v>7.0718426586292626E-5</v>
      </c>
      <c r="J57" s="46">
        <v>100</v>
      </c>
      <c r="K57" s="49">
        <f>+(J57/141405861*100)</f>
        <v>7.0718426586292626E-5</v>
      </c>
      <c r="L57" s="46">
        <v>0</v>
      </c>
      <c r="M57" s="49">
        <f>SUM((H57+L57)/141405861*100)</f>
        <v>7.0718426586292626E-5</v>
      </c>
      <c r="N57" s="46">
        <v>0</v>
      </c>
      <c r="O57" s="49">
        <v>0</v>
      </c>
      <c r="P57" s="46">
        <v>0</v>
      </c>
      <c r="Q57" s="49">
        <f>+(P57/141405861)*100</f>
        <v>0</v>
      </c>
      <c r="R57" s="46">
        <v>100</v>
      </c>
    </row>
    <row r="58" spans="1:18" s="39" customFormat="1">
      <c r="A58" s="40"/>
      <c r="B58" s="40" t="s">
        <v>83</v>
      </c>
      <c r="C58" s="40"/>
      <c r="D58" s="40">
        <v>40</v>
      </c>
      <c r="E58" s="40">
        <f>SUM(E9:E57)</f>
        <v>105136968</v>
      </c>
      <c r="F58" s="40">
        <f>+F8+F27+F28+F29</f>
        <v>0</v>
      </c>
      <c r="G58" s="40">
        <f>+G8+G27+G28+G29</f>
        <v>0</v>
      </c>
      <c r="H58" s="40">
        <f>SUM(H9:H57)</f>
        <v>105136968</v>
      </c>
      <c r="I58" s="52">
        <f>+(H58/141405861)*100</f>
        <v>74.351209530133971</v>
      </c>
      <c r="J58" s="40">
        <f>SUM(J9:J57)</f>
        <v>105136968</v>
      </c>
      <c r="K58" s="52">
        <f>+(J58/141405861)*100</f>
        <v>74.351209530133971</v>
      </c>
      <c r="L58" s="40">
        <f>+L8+L27+L28+L29</f>
        <v>0</v>
      </c>
      <c r="M58" s="52">
        <f>(J58/141405861)*100</f>
        <v>74.351209530133971</v>
      </c>
      <c r="N58" s="40">
        <f>+N8+N27+N28+N29</f>
        <v>0</v>
      </c>
      <c r="O58" s="52">
        <f>+O8+O27+O28+O29</f>
        <v>0</v>
      </c>
      <c r="P58" s="40">
        <f>SUM(P9:P57)</f>
        <v>0</v>
      </c>
      <c r="Q58" s="52">
        <f>+(P58/E58)*100</f>
        <v>0</v>
      </c>
      <c r="R58" s="40">
        <f>SUM(R9:R57)</f>
        <v>105136968</v>
      </c>
    </row>
    <row r="59" spans="1:18">
      <c r="A59" s="45" t="s">
        <v>84</v>
      </c>
      <c r="B59" s="46" t="s">
        <v>85</v>
      </c>
      <c r="C59" s="46"/>
      <c r="D59" s="46"/>
      <c r="E59" s="46"/>
      <c r="F59" s="46"/>
      <c r="G59" s="46"/>
      <c r="H59" s="46"/>
      <c r="I59" s="46"/>
      <c r="J59" s="46"/>
      <c r="K59" s="46"/>
      <c r="L59" s="46"/>
      <c r="M59" s="46"/>
      <c r="N59" s="46"/>
      <c r="O59" s="46"/>
      <c r="P59" s="46"/>
      <c r="Q59" s="46"/>
      <c r="R59" s="46"/>
    </row>
    <row r="60" spans="1:18" ht="30">
      <c r="A60" s="48" t="s">
        <v>75</v>
      </c>
      <c r="B60" s="51" t="s">
        <v>86</v>
      </c>
      <c r="C60" s="46"/>
      <c r="D60" s="46">
        <v>0</v>
      </c>
      <c r="E60" s="46">
        <v>0</v>
      </c>
      <c r="F60" s="46">
        <v>0</v>
      </c>
      <c r="G60" s="46">
        <v>0</v>
      </c>
      <c r="H60" s="46">
        <v>0</v>
      </c>
      <c r="I60" s="49">
        <f>SUM(H60/141405861*100)</f>
        <v>0</v>
      </c>
      <c r="J60" s="46">
        <v>0</v>
      </c>
      <c r="K60" s="49">
        <f>+(J60/141405861*100)</f>
        <v>0</v>
      </c>
      <c r="L60" s="46">
        <v>0</v>
      </c>
      <c r="M60" s="49">
        <f>SUM((H60+L60)/141405861*100)</f>
        <v>0</v>
      </c>
      <c r="N60" s="46">
        <v>0</v>
      </c>
      <c r="O60" s="49">
        <v>0</v>
      </c>
      <c r="P60" s="46">
        <v>0</v>
      </c>
      <c r="Q60" s="49">
        <f>+(P60/141405861)*100</f>
        <v>0</v>
      </c>
      <c r="R60" s="46">
        <v>0</v>
      </c>
    </row>
    <row r="61" spans="1:18">
      <c r="A61" s="48" t="s">
        <v>77</v>
      </c>
      <c r="B61" s="46" t="s">
        <v>87</v>
      </c>
      <c r="C61" s="46"/>
      <c r="D61" s="46">
        <v>0</v>
      </c>
      <c r="E61" s="46">
        <v>0</v>
      </c>
      <c r="F61" s="46">
        <v>0</v>
      </c>
      <c r="G61" s="46">
        <v>0</v>
      </c>
      <c r="H61" s="46">
        <v>0</v>
      </c>
      <c r="I61" s="49">
        <f>SUM(H61/141405861*100)</f>
        <v>0</v>
      </c>
      <c r="J61" s="46">
        <v>0</v>
      </c>
      <c r="K61" s="49">
        <f>+(J61/141405861*100)</f>
        <v>0</v>
      </c>
      <c r="L61" s="46">
        <v>0</v>
      </c>
      <c r="M61" s="49">
        <f>SUM((H61+L61)/141405861*100)</f>
        <v>0</v>
      </c>
      <c r="N61" s="46">
        <v>0</v>
      </c>
      <c r="O61" s="49">
        <v>0</v>
      </c>
      <c r="P61" s="46">
        <v>0</v>
      </c>
      <c r="Q61" s="49">
        <f>+(P61/141405861)*100</f>
        <v>0</v>
      </c>
      <c r="R61" s="46">
        <v>0</v>
      </c>
    </row>
    <row r="62" spans="1:18">
      <c r="A62" s="48" t="s">
        <v>79</v>
      </c>
      <c r="B62" s="46" t="s">
        <v>88</v>
      </c>
      <c r="C62" s="46"/>
      <c r="D62" s="46">
        <v>0</v>
      </c>
      <c r="E62" s="46">
        <v>0</v>
      </c>
      <c r="F62" s="46">
        <v>0</v>
      </c>
      <c r="G62" s="46">
        <v>0</v>
      </c>
      <c r="H62" s="46">
        <v>0</v>
      </c>
      <c r="I62" s="49">
        <f>SUM(H62/141405861*100)</f>
        <v>0</v>
      </c>
      <c r="J62" s="46">
        <v>0</v>
      </c>
      <c r="K62" s="49">
        <f>+(J62/141405861*100)</f>
        <v>0</v>
      </c>
      <c r="L62" s="46">
        <v>0</v>
      </c>
      <c r="M62" s="49">
        <f>SUM((H62+L62)/141405861*100)</f>
        <v>0</v>
      </c>
      <c r="N62" s="46">
        <v>0</v>
      </c>
      <c r="O62" s="49">
        <v>0</v>
      </c>
      <c r="P62" s="46">
        <v>0</v>
      </c>
      <c r="Q62" s="49">
        <f>+(P62/141405861)*100</f>
        <v>0</v>
      </c>
      <c r="R62" s="46">
        <v>0</v>
      </c>
    </row>
    <row r="63" spans="1:18">
      <c r="A63" s="48" t="s">
        <v>81</v>
      </c>
      <c r="B63" s="46" t="s">
        <v>89</v>
      </c>
      <c r="C63" s="46"/>
      <c r="D63" s="46">
        <v>0</v>
      </c>
      <c r="E63" s="46">
        <v>0</v>
      </c>
      <c r="F63" s="46">
        <v>0</v>
      </c>
      <c r="G63" s="46">
        <v>0</v>
      </c>
      <c r="H63" s="46">
        <v>0</v>
      </c>
      <c r="I63" s="49">
        <f>SUM(H63/141405861*100)</f>
        <v>0</v>
      </c>
      <c r="J63" s="46">
        <v>0</v>
      </c>
      <c r="K63" s="49">
        <f>+(J63/141405861*100)</f>
        <v>0</v>
      </c>
      <c r="L63" s="46">
        <v>0</v>
      </c>
      <c r="M63" s="49">
        <f>SUM((H63+L63)/141405861*100)</f>
        <v>0</v>
      </c>
      <c r="N63" s="46">
        <v>0</v>
      </c>
      <c r="O63" s="49">
        <v>0</v>
      </c>
      <c r="P63" s="46">
        <v>0</v>
      </c>
      <c r="Q63" s="49">
        <f>+(P63/141405861)*100</f>
        <v>0</v>
      </c>
      <c r="R63" s="46">
        <v>0</v>
      </c>
    </row>
    <row r="64" spans="1:18">
      <c r="A64" s="48" t="s">
        <v>90</v>
      </c>
      <c r="B64" s="46" t="s">
        <v>91</v>
      </c>
      <c r="C64" s="46"/>
      <c r="D64" s="46">
        <v>0</v>
      </c>
      <c r="E64" s="46">
        <v>0</v>
      </c>
      <c r="F64" s="46">
        <v>0</v>
      </c>
      <c r="G64" s="46">
        <v>0</v>
      </c>
      <c r="H64" s="46">
        <v>0</v>
      </c>
      <c r="I64" s="49">
        <f>SUM(H64/141405861*100)</f>
        <v>0</v>
      </c>
      <c r="J64" s="46">
        <v>0</v>
      </c>
      <c r="K64" s="49">
        <f>+(J64/141405861*100)</f>
        <v>0</v>
      </c>
      <c r="L64" s="46">
        <v>0</v>
      </c>
      <c r="M64" s="49">
        <f>SUM((H64+L64)/141405861*100)</f>
        <v>0</v>
      </c>
      <c r="N64" s="46">
        <v>0</v>
      </c>
      <c r="O64" s="49">
        <v>0</v>
      </c>
      <c r="P64" s="46">
        <v>0</v>
      </c>
      <c r="Q64" s="49">
        <f>+(P64/141405861)*100</f>
        <v>0</v>
      </c>
      <c r="R64" s="46">
        <v>0</v>
      </c>
    </row>
    <row r="65" spans="1:18" s="39" customFormat="1">
      <c r="A65" s="40"/>
      <c r="B65" s="40" t="s">
        <v>92</v>
      </c>
      <c r="C65" s="40"/>
      <c r="D65" s="40">
        <f t="shared" ref="D65:R65" si="9">+D60+D61+D62+D63+D64</f>
        <v>0</v>
      </c>
      <c r="E65" s="40">
        <f t="shared" si="9"/>
        <v>0</v>
      </c>
      <c r="F65" s="40">
        <f t="shared" si="9"/>
        <v>0</v>
      </c>
      <c r="G65" s="40">
        <f t="shared" si="9"/>
        <v>0</v>
      </c>
      <c r="H65" s="40">
        <f t="shared" si="9"/>
        <v>0</v>
      </c>
      <c r="I65" s="52">
        <f t="shared" si="9"/>
        <v>0</v>
      </c>
      <c r="J65" s="40">
        <f t="shared" si="9"/>
        <v>0</v>
      </c>
      <c r="K65" s="52">
        <f t="shared" si="9"/>
        <v>0</v>
      </c>
      <c r="L65" s="40">
        <f t="shared" si="9"/>
        <v>0</v>
      </c>
      <c r="M65" s="52">
        <f t="shared" si="9"/>
        <v>0</v>
      </c>
      <c r="N65" s="40">
        <f t="shared" si="9"/>
        <v>0</v>
      </c>
      <c r="O65" s="52">
        <f t="shared" si="9"/>
        <v>0</v>
      </c>
      <c r="P65" s="40">
        <f t="shared" si="9"/>
        <v>0</v>
      </c>
      <c r="Q65" s="52">
        <f t="shared" si="9"/>
        <v>0</v>
      </c>
      <c r="R65" s="40">
        <f t="shared" si="9"/>
        <v>0</v>
      </c>
    </row>
    <row r="66" spans="1:18" s="39" customFormat="1" ht="30">
      <c r="A66" s="40"/>
      <c r="B66" s="42" t="s">
        <v>93</v>
      </c>
      <c r="C66" s="40"/>
      <c r="D66" s="40">
        <f>+(D58+D65)</f>
        <v>40</v>
      </c>
      <c r="E66" s="40">
        <f t="shared" ref="E66:O66" si="10">+(E58+E65)</f>
        <v>105136968</v>
      </c>
      <c r="F66" s="40">
        <f t="shared" si="10"/>
        <v>0</v>
      </c>
      <c r="G66" s="40">
        <f t="shared" si="10"/>
        <v>0</v>
      </c>
      <c r="H66" s="40">
        <f t="shared" si="10"/>
        <v>105136968</v>
      </c>
      <c r="I66" s="52">
        <f>+(I58+I65)</f>
        <v>74.351209530133971</v>
      </c>
      <c r="J66" s="40">
        <f t="shared" si="10"/>
        <v>105136968</v>
      </c>
      <c r="K66" s="52">
        <f t="shared" si="10"/>
        <v>74.351209530133971</v>
      </c>
      <c r="L66" s="40">
        <f t="shared" si="10"/>
        <v>0</v>
      </c>
      <c r="M66" s="52">
        <f t="shared" si="10"/>
        <v>74.351209530133971</v>
      </c>
      <c r="N66" s="40">
        <f t="shared" si="10"/>
        <v>0</v>
      </c>
      <c r="O66" s="52">
        <f t="shared" si="10"/>
        <v>0</v>
      </c>
      <c r="P66" s="40">
        <f>P58+P65</f>
        <v>0</v>
      </c>
      <c r="Q66" s="52">
        <f>+(P66/E66)*100</f>
        <v>0</v>
      </c>
      <c r="R66" s="40">
        <f>+(R58+R65)</f>
        <v>105136968</v>
      </c>
    </row>
    <row r="67" spans="1:18" ht="7.5" customHeight="1"/>
    <row r="68" spans="1:18">
      <c r="A68" s="53" t="s">
        <v>201</v>
      </c>
      <c r="B68" s="54"/>
      <c r="C68" s="54"/>
      <c r="D68" s="54"/>
      <c r="E68" s="54"/>
      <c r="F68" s="54"/>
      <c r="G68" s="54"/>
      <c r="H68" s="54"/>
      <c r="I68" s="54"/>
      <c r="J68" s="54"/>
      <c r="K68" s="54"/>
      <c r="L68" s="54"/>
    </row>
    <row r="69" spans="1:18" ht="5.25" customHeight="1">
      <c r="A69" s="53"/>
      <c r="B69" s="54"/>
      <c r="C69" s="54"/>
      <c r="D69" s="54"/>
      <c r="E69" s="54"/>
      <c r="F69" s="54"/>
      <c r="G69" s="54"/>
      <c r="H69" s="54"/>
      <c r="I69" s="54"/>
      <c r="J69" s="54"/>
      <c r="K69" s="54"/>
      <c r="L69" s="54"/>
    </row>
    <row r="70" spans="1:18" ht="11.25" customHeight="1">
      <c r="A70" s="53" t="s">
        <v>230</v>
      </c>
      <c r="B70" s="90" t="s">
        <v>231</v>
      </c>
      <c r="C70" s="90"/>
      <c r="D70" s="90"/>
      <c r="E70" s="90"/>
      <c r="F70" s="90"/>
      <c r="G70" s="90"/>
      <c r="H70" s="90"/>
      <c r="I70" s="90"/>
      <c r="J70" s="90"/>
      <c r="K70" s="90"/>
      <c r="L70" s="90"/>
      <c r="M70" s="90"/>
      <c r="N70" s="90"/>
      <c r="O70" s="90"/>
      <c r="P70" s="90"/>
      <c r="Q70" s="90"/>
      <c r="R70" s="90"/>
    </row>
    <row r="71" spans="1:18" ht="34.5" customHeight="1">
      <c r="B71" s="90"/>
      <c r="C71" s="90"/>
      <c r="D71" s="90"/>
      <c r="E71" s="90"/>
      <c r="F71" s="90"/>
      <c r="G71" s="90"/>
      <c r="H71" s="90"/>
      <c r="I71" s="90"/>
      <c r="J71" s="90"/>
      <c r="K71" s="90"/>
      <c r="L71" s="90"/>
      <c r="M71" s="90"/>
      <c r="N71" s="90"/>
      <c r="O71" s="90"/>
      <c r="P71" s="90"/>
      <c r="Q71" s="90"/>
      <c r="R71" s="90"/>
    </row>
    <row r="72" spans="1:18" ht="34.5" customHeight="1">
      <c r="B72" s="90"/>
      <c r="C72" s="90"/>
      <c r="D72" s="90"/>
      <c r="E72" s="90"/>
      <c r="F72" s="90"/>
      <c r="G72" s="90"/>
      <c r="H72" s="90"/>
      <c r="I72" s="90"/>
      <c r="J72" s="90"/>
      <c r="K72" s="90"/>
      <c r="L72" s="90"/>
      <c r="M72" s="90"/>
      <c r="N72" s="90"/>
      <c r="O72" s="90"/>
      <c r="P72" s="90"/>
      <c r="Q72" s="90"/>
      <c r="R72" s="90"/>
    </row>
    <row r="73" spans="1:18" ht="30" customHeight="1">
      <c r="B73" s="90"/>
      <c r="C73" s="90"/>
      <c r="D73" s="90"/>
      <c r="E73" s="90"/>
      <c r="F73" s="90"/>
      <c r="G73" s="90"/>
      <c r="H73" s="90"/>
      <c r="I73" s="90"/>
      <c r="J73" s="90"/>
      <c r="K73" s="90"/>
      <c r="L73" s="90"/>
      <c r="M73" s="90"/>
      <c r="N73" s="90"/>
      <c r="O73" s="90"/>
      <c r="P73" s="90"/>
      <c r="Q73" s="90"/>
      <c r="R73" s="90"/>
    </row>
  </sheetData>
  <mergeCells count="7">
    <mergeCell ref="B70:R73"/>
    <mergeCell ref="J3:K3"/>
    <mergeCell ref="N3:O3"/>
    <mergeCell ref="P3:Q3"/>
    <mergeCell ref="J6:K6"/>
    <mergeCell ref="N6:O6"/>
    <mergeCell ref="P6:Q6"/>
  </mergeCells>
  <pageMargins left="0.23622047244094499" right="0.15748031496063" top="0.62992125984252001" bottom="0.64930555555555602" header="0.196850393700787" footer="0.47244094488188998"/>
  <pageSetup paperSize="9" scale="50" orientation="landscape" r:id="rId1"/>
  <headerFooter differentFirst="1">
    <oddHeader>&amp;L&amp;"-,Bold"Shareholding Pattern - Regulation 31 - Mukand Ltd.&amp;C&amp;"-,Bold"Scrip Code (BSE)- 500460Scrip Name (NSE)- MUKANDLTD&amp;R&amp;"-,Bold"Qtr Ended - 30th Sep, 2019</oddHeader>
    <oddFooter>&amp;RPage 4</oddFooter>
    <firstHeader>&amp;L&amp;"-,Bold"Shareholding Pattern - Regulation 31 - Mukand Ltd.&amp;C&amp;"-,Bold"Scrip Code (BSE)- 500460Scrip Name (NSE)- MUKANDLTD&amp;R&amp;"-,Bold"Qtr Ended - 31st Dec, 2019</firstHeader>
    <firstFooter>&amp;RPage 3</firstFooter>
  </headerFooter>
  <rowBreaks count="1" manualBreakCount="1">
    <brk id="39" max="17" man="1"/>
  </rowBreaks>
  <ignoredErrors>
    <ignoredError sqref="M58 Q49 I49" formula="1"/>
  </ignoredErrors>
</worksheet>
</file>

<file path=xl/worksheets/sheet4.xml><?xml version="1.0" encoding="utf-8"?>
<worksheet xmlns="http://schemas.openxmlformats.org/spreadsheetml/2006/main" xmlns:r="http://schemas.openxmlformats.org/officeDocument/2006/relationships">
  <dimension ref="A1:R38"/>
  <sheetViews>
    <sheetView topLeftCell="A6" zoomScale="70" zoomScaleNormal="70" zoomScaleSheetLayoutView="80" zoomScalePageLayoutView="60" workbookViewId="0">
      <selection activeCell="E31" sqref="E31"/>
    </sheetView>
  </sheetViews>
  <sheetFormatPr defaultColWidth="9.140625" defaultRowHeight="15"/>
  <cols>
    <col min="1" max="1" width="10.7109375" style="77" customWidth="1"/>
    <col min="2" max="2" width="46.140625" style="77" customWidth="1"/>
    <col min="3" max="3" width="12.140625" style="77" customWidth="1"/>
    <col min="4" max="8" width="16.7109375" style="77" customWidth="1"/>
    <col min="9" max="9" width="12.7109375" style="77" customWidth="1"/>
    <col min="10" max="10" width="14.42578125" style="77" customWidth="1"/>
    <col min="11" max="11" width="12.7109375" style="77" customWidth="1"/>
    <col min="12" max="13" width="20.7109375" style="77" customWidth="1"/>
    <col min="14" max="14" width="11.28515625" style="77" customWidth="1"/>
    <col min="15" max="15" width="11.140625" style="77" customWidth="1"/>
    <col min="16" max="16" width="11" style="77" customWidth="1"/>
    <col min="17" max="17" width="14.5703125" style="77" customWidth="1"/>
    <col min="18" max="18" width="15.85546875" style="77" customWidth="1"/>
    <col min="19" max="19" width="11.5703125" style="77" customWidth="1"/>
    <col min="20" max="16384" width="9.140625" style="77"/>
  </cols>
  <sheetData>
    <row r="1" spans="1:18" s="67" customFormat="1" ht="15.75">
      <c r="A1" s="67" t="s">
        <v>94</v>
      </c>
    </row>
    <row r="3" spans="1:18" s="69" customFormat="1" ht="102.75" customHeight="1">
      <c r="A3" s="68" t="s">
        <v>20</v>
      </c>
      <c r="B3" s="68" t="s">
        <v>69</v>
      </c>
      <c r="C3" s="68" t="s">
        <v>70</v>
      </c>
      <c r="D3" s="68" t="s">
        <v>23</v>
      </c>
      <c r="E3" s="68" t="s">
        <v>24</v>
      </c>
      <c r="F3" s="68" t="s">
        <v>25</v>
      </c>
      <c r="G3" s="68" t="s">
        <v>26</v>
      </c>
      <c r="H3" s="68" t="s">
        <v>71</v>
      </c>
      <c r="I3" s="68" t="s">
        <v>72</v>
      </c>
      <c r="J3" s="93" t="s">
        <v>29</v>
      </c>
      <c r="K3" s="93"/>
      <c r="L3" s="68" t="s">
        <v>30</v>
      </c>
      <c r="M3" s="68" t="s">
        <v>31</v>
      </c>
      <c r="N3" s="93" t="s">
        <v>32</v>
      </c>
      <c r="O3" s="93"/>
      <c r="P3" s="93" t="s">
        <v>33</v>
      </c>
      <c r="Q3" s="93"/>
      <c r="R3" s="68" t="s">
        <v>34</v>
      </c>
    </row>
    <row r="4" spans="1:18" s="69" customFormat="1" ht="48.75" customHeight="1">
      <c r="A4" s="70"/>
      <c r="B4" s="70"/>
      <c r="C4" s="70"/>
      <c r="D4" s="70"/>
      <c r="E4" s="70"/>
      <c r="F4" s="70"/>
      <c r="G4" s="70"/>
      <c r="H4" s="70"/>
      <c r="I4" s="70"/>
      <c r="J4" s="71" t="s">
        <v>35</v>
      </c>
      <c r="K4" s="68" t="s">
        <v>36</v>
      </c>
      <c r="L4" s="72"/>
      <c r="M4" s="70"/>
      <c r="N4" s="73" t="s">
        <v>37</v>
      </c>
      <c r="O4" s="68" t="s">
        <v>38</v>
      </c>
      <c r="P4" s="68" t="s">
        <v>37</v>
      </c>
      <c r="Q4" s="68" t="s">
        <v>38</v>
      </c>
      <c r="R4" s="70"/>
    </row>
    <row r="5" spans="1:18" s="69" customFormat="1" ht="24.75" customHeight="1">
      <c r="A5" s="70"/>
      <c r="B5" s="70"/>
      <c r="C5" s="70"/>
      <c r="D5" s="70"/>
      <c r="E5" s="70"/>
      <c r="F5" s="70"/>
      <c r="G5" s="70"/>
      <c r="H5" s="70"/>
      <c r="I5" s="70"/>
      <c r="J5" s="68" t="s">
        <v>209</v>
      </c>
      <c r="K5" s="70"/>
      <c r="L5" s="70"/>
      <c r="M5" s="70"/>
      <c r="N5" s="70"/>
      <c r="O5" s="70"/>
      <c r="P5" s="70"/>
      <c r="Q5" s="70"/>
      <c r="R5" s="70"/>
    </row>
    <row r="6" spans="1:18" s="69" customFormat="1">
      <c r="A6" s="74"/>
      <c r="B6" s="74" t="s">
        <v>42</v>
      </c>
      <c r="C6" s="74" t="s">
        <v>43</v>
      </c>
      <c r="D6" s="74" t="s">
        <v>44</v>
      </c>
      <c r="E6" s="74" t="s">
        <v>45</v>
      </c>
      <c r="F6" s="74" t="s">
        <v>46</v>
      </c>
      <c r="G6" s="74" t="s">
        <v>47</v>
      </c>
      <c r="H6" s="74" t="s">
        <v>48</v>
      </c>
      <c r="I6" s="74" t="s">
        <v>49</v>
      </c>
      <c r="J6" s="94" t="s">
        <v>50</v>
      </c>
      <c r="K6" s="94"/>
      <c r="L6" s="74" t="s">
        <v>51</v>
      </c>
      <c r="M6" s="74" t="s">
        <v>52</v>
      </c>
      <c r="N6" s="94" t="s">
        <v>53</v>
      </c>
      <c r="O6" s="94"/>
      <c r="P6" s="94" t="s">
        <v>54</v>
      </c>
      <c r="Q6" s="94"/>
      <c r="R6" s="74" t="s">
        <v>55</v>
      </c>
    </row>
    <row r="7" spans="1:18">
      <c r="A7" s="75" t="s">
        <v>73</v>
      </c>
      <c r="B7" s="76" t="s">
        <v>88</v>
      </c>
      <c r="C7" s="76"/>
      <c r="D7" s="76"/>
      <c r="E7" s="76"/>
      <c r="F7" s="76"/>
      <c r="G7" s="76"/>
      <c r="H7" s="76"/>
      <c r="I7" s="76"/>
      <c r="J7" s="76"/>
      <c r="K7" s="76"/>
      <c r="L7" s="76"/>
      <c r="M7" s="76"/>
      <c r="N7" s="76"/>
      <c r="O7" s="76"/>
      <c r="P7" s="76"/>
      <c r="Q7" s="76"/>
      <c r="R7" s="76"/>
    </row>
    <row r="8" spans="1:18">
      <c r="A8" s="78" t="s">
        <v>75</v>
      </c>
      <c r="B8" s="76" t="s">
        <v>95</v>
      </c>
      <c r="C8" s="76"/>
      <c r="D8" s="76">
        <v>3</v>
      </c>
      <c r="E8" s="76">
        <v>924</v>
      </c>
      <c r="F8" s="76">
        <v>0</v>
      </c>
      <c r="G8" s="76">
        <v>0</v>
      </c>
      <c r="H8" s="76">
        <v>924</v>
      </c>
      <c r="I8" s="79">
        <f t="shared" ref="I8:I15" si="0">SUM(H8/141405861*100)</f>
        <v>6.534382616573439E-4</v>
      </c>
      <c r="J8" s="76">
        <v>924</v>
      </c>
      <c r="K8" s="79">
        <f>J8/141405861*100</f>
        <v>6.534382616573439E-4</v>
      </c>
      <c r="L8" s="76">
        <v>0</v>
      </c>
      <c r="M8" s="79">
        <f t="shared" ref="M8:M15" si="1">SUM((H8+L8)/141405861*100)</f>
        <v>6.534382616573439E-4</v>
      </c>
      <c r="N8" s="76">
        <v>0</v>
      </c>
      <c r="O8" s="79">
        <v>0</v>
      </c>
      <c r="P8" s="76" t="s">
        <v>60</v>
      </c>
      <c r="Q8" s="76" t="s">
        <v>60</v>
      </c>
      <c r="R8" s="76">
        <v>924</v>
      </c>
    </row>
    <row r="9" spans="1:18">
      <c r="A9" s="78" t="s">
        <v>77</v>
      </c>
      <c r="B9" s="76" t="s">
        <v>96</v>
      </c>
      <c r="C9" s="76"/>
      <c r="D9" s="76">
        <v>0</v>
      </c>
      <c r="E9" s="76">
        <v>0</v>
      </c>
      <c r="F9" s="76">
        <v>0</v>
      </c>
      <c r="G9" s="76">
        <v>0</v>
      </c>
      <c r="H9" s="76">
        <v>0</v>
      </c>
      <c r="I9" s="79">
        <f t="shared" si="0"/>
        <v>0</v>
      </c>
      <c r="J9" s="76">
        <v>0</v>
      </c>
      <c r="K9" s="79">
        <f>J9/141405861*100</f>
        <v>0</v>
      </c>
      <c r="L9" s="76">
        <v>0</v>
      </c>
      <c r="M9" s="79">
        <f t="shared" si="1"/>
        <v>0</v>
      </c>
      <c r="N9" s="76">
        <v>0</v>
      </c>
      <c r="O9" s="79">
        <v>0</v>
      </c>
      <c r="P9" s="76" t="s">
        <v>60</v>
      </c>
      <c r="Q9" s="76" t="s">
        <v>60</v>
      </c>
      <c r="R9" s="76">
        <v>0</v>
      </c>
    </row>
    <row r="10" spans="1:18">
      <c r="A10" s="78" t="s">
        <v>79</v>
      </c>
      <c r="B10" s="76" t="s">
        <v>97</v>
      </c>
      <c r="C10" s="76"/>
      <c r="D10" s="76">
        <v>0</v>
      </c>
      <c r="E10" s="76">
        <v>0</v>
      </c>
      <c r="F10" s="76">
        <v>0</v>
      </c>
      <c r="G10" s="76">
        <v>0</v>
      </c>
      <c r="H10" s="76">
        <v>0</v>
      </c>
      <c r="I10" s="79">
        <f t="shared" si="0"/>
        <v>0</v>
      </c>
      <c r="J10" s="76">
        <v>0</v>
      </c>
      <c r="K10" s="79">
        <f t="shared" ref="K10:K34" si="2">J10/141405861*100</f>
        <v>0</v>
      </c>
      <c r="L10" s="76">
        <v>0</v>
      </c>
      <c r="M10" s="79">
        <f t="shared" si="1"/>
        <v>0</v>
      </c>
      <c r="N10" s="76">
        <v>0</v>
      </c>
      <c r="O10" s="79">
        <v>0</v>
      </c>
      <c r="P10" s="76" t="s">
        <v>60</v>
      </c>
      <c r="Q10" s="76" t="s">
        <v>60</v>
      </c>
      <c r="R10" s="76">
        <v>0</v>
      </c>
    </row>
    <row r="11" spans="1:18">
      <c r="A11" s="78" t="s">
        <v>81</v>
      </c>
      <c r="B11" s="76" t="s">
        <v>98</v>
      </c>
      <c r="C11" s="76"/>
      <c r="D11" s="76">
        <v>0</v>
      </c>
      <c r="E11" s="76">
        <v>0</v>
      </c>
      <c r="F11" s="76">
        <v>0</v>
      </c>
      <c r="G11" s="76">
        <v>0</v>
      </c>
      <c r="H11" s="76">
        <v>0</v>
      </c>
      <c r="I11" s="79">
        <f t="shared" si="0"/>
        <v>0</v>
      </c>
      <c r="J11" s="76">
        <v>0</v>
      </c>
      <c r="K11" s="79">
        <f t="shared" si="2"/>
        <v>0</v>
      </c>
      <c r="L11" s="76">
        <v>0</v>
      </c>
      <c r="M11" s="79">
        <f t="shared" si="1"/>
        <v>0</v>
      </c>
      <c r="N11" s="76">
        <v>0</v>
      </c>
      <c r="O11" s="79">
        <v>0</v>
      </c>
      <c r="P11" s="76" t="s">
        <v>60</v>
      </c>
      <c r="Q11" s="76" t="s">
        <v>60</v>
      </c>
      <c r="R11" s="76">
        <v>0</v>
      </c>
    </row>
    <row r="12" spans="1:18">
      <c r="A12" s="78" t="s">
        <v>90</v>
      </c>
      <c r="B12" s="76" t="s">
        <v>99</v>
      </c>
      <c r="C12" s="76"/>
      <c r="D12" s="76">
        <v>1</v>
      </c>
      <c r="E12" s="76">
        <v>80</v>
      </c>
      <c r="F12" s="76">
        <v>0</v>
      </c>
      <c r="G12" s="76">
        <v>0</v>
      </c>
      <c r="H12" s="76">
        <v>80</v>
      </c>
      <c r="I12" s="79">
        <f t="shared" si="0"/>
        <v>5.6574741269034101E-5</v>
      </c>
      <c r="J12" s="76">
        <v>80</v>
      </c>
      <c r="K12" s="79">
        <f t="shared" si="2"/>
        <v>5.6574741269034101E-5</v>
      </c>
      <c r="L12" s="76">
        <v>0</v>
      </c>
      <c r="M12" s="79">
        <f t="shared" si="1"/>
        <v>5.6574741269034101E-5</v>
      </c>
      <c r="N12" s="76">
        <v>0</v>
      </c>
      <c r="O12" s="79">
        <v>0</v>
      </c>
      <c r="P12" s="76" t="s">
        <v>60</v>
      </c>
      <c r="Q12" s="76" t="s">
        <v>60</v>
      </c>
      <c r="R12" s="76">
        <v>0</v>
      </c>
    </row>
    <row r="13" spans="1:18">
      <c r="A13" s="78" t="s">
        <v>100</v>
      </c>
      <c r="B13" s="76" t="s">
        <v>80</v>
      </c>
      <c r="C13" s="76"/>
      <c r="D13" s="76">
        <v>16</v>
      </c>
      <c r="E13" s="76">
        <v>7996</v>
      </c>
      <c r="F13" s="76">
        <v>0</v>
      </c>
      <c r="G13" s="76">
        <v>0</v>
      </c>
      <c r="H13" s="76">
        <v>7996</v>
      </c>
      <c r="I13" s="79">
        <f t="shared" si="0"/>
        <v>5.6546453898399587E-3</v>
      </c>
      <c r="J13" s="76">
        <v>7996</v>
      </c>
      <c r="K13" s="79">
        <f t="shared" si="2"/>
        <v>5.6546453898399587E-3</v>
      </c>
      <c r="L13" s="76">
        <v>0</v>
      </c>
      <c r="M13" s="79">
        <f t="shared" si="1"/>
        <v>5.6546453898399587E-3</v>
      </c>
      <c r="N13" s="76">
        <v>0</v>
      </c>
      <c r="O13" s="79">
        <v>0</v>
      </c>
      <c r="P13" s="76" t="s">
        <v>60</v>
      </c>
      <c r="Q13" s="76" t="s">
        <v>60</v>
      </c>
      <c r="R13" s="76">
        <v>5950</v>
      </c>
    </row>
    <row r="14" spans="1:18">
      <c r="A14" s="78" t="s">
        <v>102</v>
      </c>
      <c r="B14" s="76" t="s">
        <v>103</v>
      </c>
      <c r="C14" s="76"/>
      <c r="D14" s="76">
        <v>1</v>
      </c>
      <c r="E14" s="76">
        <v>5345785</v>
      </c>
      <c r="F14" s="76">
        <v>0</v>
      </c>
      <c r="G14" s="76">
        <v>0</v>
      </c>
      <c r="H14" s="76">
        <v>5345785</v>
      </c>
      <c r="I14" s="79">
        <f t="shared" si="0"/>
        <v>3.7804550406860433</v>
      </c>
      <c r="J14" s="76">
        <v>5345785</v>
      </c>
      <c r="K14" s="79">
        <f t="shared" si="2"/>
        <v>3.7804550406860433</v>
      </c>
      <c r="L14" s="76">
        <v>0</v>
      </c>
      <c r="M14" s="79">
        <f t="shared" si="1"/>
        <v>3.7804550406860433</v>
      </c>
      <c r="N14" s="76">
        <v>0</v>
      </c>
      <c r="O14" s="79">
        <v>0</v>
      </c>
      <c r="P14" s="76" t="s">
        <v>60</v>
      </c>
      <c r="Q14" s="76" t="s">
        <v>60</v>
      </c>
      <c r="R14" s="76">
        <v>5345785</v>
      </c>
    </row>
    <row r="15" spans="1:18">
      <c r="A15" s="78" t="s">
        <v>104</v>
      </c>
      <c r="B15" s="76" t="s">
        <v>105</v>
      </c>
      <c r="C15" s="76"/>
      <c r="D15" s="76">
        <v>0</v>
      </c>
      <c r="E15" s="76">
        <v>0</v>
      </c>
      <c r="F15" s="76">
        <v>0</v>
      </c>
      <c r="G15" s="76">
        <v>0</v>
      </c>
      <c r="H15" s="76">
        <v>0</v>
      </c>
      <c r="I15" s="79">
        <f t="shared" si="0"/>
        <v>0</v>
      </c>
      <c r="J15" s="76">
        <v>0</v>
      </c>
      <c r="K15" s="79">
        <f t="shared" si="2"/>
        <v>0</v>
      </c>
      <c r="L15" s="76">
        <v>0</v>
      </c>
      <c r="M15" s="79">
        <f t="shared" si="1"/>
        <v>0</v>
      </c>
      <c r="N15" s="76">
        <v>0</v>
      </c>
      <c r="O15" s="79">
        <v>0</v>
      </c>
      <c r="P15" s="76" t="s">
        <v>60</v>
      </c>
      <c r="Q15" s="76" t="s">
        <v>60</v>
      </c>
      <c r="R15" s="76">
        <v>0</v>
      </c>
    </row>
    <row r="16" spans="1:18">
      <c r="A16" s="78" t="s">
        <v>106</v>
      </c>
      <c r="B16" s="76" t="s">
        <v>82</v>
      </c>
      <c r="C16" s="76"/>
      <c r="D16" s="76">
        <v>0</v>
      </c>
      <c r="E16" s="76">
        <v>0</v>
      </c>
      <c r="F16" s="76">
        <v>0</v>
      </c>
      <c r="G16" s="76">
        <v>0</v>
      </c>
      <c r="H16" s="76">
        <v>0</v>
      </c>
      <c r="I16" s="79">
        <f>SUM(H16/141405861*100)</f>
        <v>0</v>
      </c>
      <c r="J16" s="76">
        <v>0</v>
      </c>
      <c r="K16" s="79">
        <f>J16/141405861*100</f>
        <v>0</v>
      </c>
      <c r="L16" s="76">
        <v>0</v>
      </c>
      <c r="M16" s="79">
        <f>SUM((H16+L16)/141405861*100)</f>
        <v>0</v>
      </c>
      <c r="N16" s="76">
        <v>0</v>
      </c>
      <c r="O16" s="79">
        <v>0</v>
      </c>
      <c r="P16" s="76" t="s">
        <v>60</v>
      </c>
      <c r="Q16" s="76" t="s">
        <v>60</v>
      </c>
      <c r="R16" s="76">
        <v>0</v>
      </c>
    </row>
    <row r="17" spans="1:18" s="69" customFormat="1">
      <c r="A17" s="70"/>
      <c r="B17" s="70" t="s">
        <v>107</v>
      </c>
      <c r="C17" s="70"/>
      <c r="D17" s="70">
        <f t="shared" ref="D17:J17" si="3">+D8+D9+D10+D11+D12+D13+D14+D15+D16</f>
        <v>21</v>
      </c>
      <c r="E17" s="70">
        <f t="shared" si="3"/>
        <v>5354785</v>
      </c>
      <c r="F17" s="70">
        <f t="shared" si="3"/>
        <v>0</v>
      </c>
      <c r="G17" s="70">
        <f t="shared" si="3"/>
        <v>0</v>
      </c>
      <c r="H17" s="70">
        <f t="shared" si="3"/>
        <v>5354785</v>
      </c>
      <c r="I17" s="80">
        <f t="shared" si="3"/>
        <v>3.7868196990788094</v>
      </c>
      <c r="J17" s="70">
        <f t="shared" si="3"/>
        <v>5354785</v>
      </c>
      <c r="K17" s="80">
        <f t="shared" si="2"/>
        <v>3.7868196990788099</v>
      </c>
      <c r="L17" s="70">
        <f>+L8+L9+L10+L11+L12+L13+L14+L15+L16</f>
        <v>0</v>
      </c>
      <c r="M17" s="80">
        <f>+M8+M9+M10+M11+M12+M13+M14+M15+M16</f>
        <v>3.7868196990788094</v>
      </c>
      <c r="N17" s="70">
        <f>+N8+N9+N10+N11+N12+N13+N14+N15+N16</f>
        <v>0</v>
      </c>
      <c r="O17" s="80">
        <f>+O8+O9+O10+O11+O12+O13+O14+O15+O16</f>
        <v>0</v>
      </c>
      <c r="P17" s="70" t="s">
        <v>60</v>
      </c>
      <c r="Q17" s="70" t="s">
        <v>60</v>
      </c>
      <c r="R17" s="70">
        <f>+R8+R9+R10+R11+R12+R13+R14+R15+R16</f>
        <v>5352659</v>
      </c>
    </row>
    <row r="18" spans="1:18" ht="30">
      <c r="A18" s="75" t="s">
        <v>84</v>
      </c>
      <c r="B18" s="81" t="s">
        <v>108</v>
      </c>
      <c r="C18" s="76"/>
      <c r="D18" s="76">
        <v>0</v>
      </c>
      <c r="E18" s="76">
        <v>0</v>
      </c>
      <c r="F18" s="76">
        <v>0</v>
      </c>
      <c r="G18" s="76">
        <v>0</v>
      </c>
      <c r="H18" s="76">
        <v>0</v>
      </c>
      <c r="I18" s="79">
        <f>SUM(H18/141405861*100)</f>
        <v>0</v>
      </c>
      <c r="J18" s="76">
        <v>0</v>
      </c>
      <c r="K18" s="79">
        <f t="shared" si="2"/>
        <v>0</v>
      </c>
      <c r="L18" s="76">
        <v>0</v>
      </c>
      <c r="M18" s="79">
        <f>SUM((H18+L18)/141405861*100)</f>
        <v>0</v>
      </c>
      <c r="N18" s="76">
        <v>0</v>
      </c>
      <c r="O18" s="79">
        <v>0</v>
      </c>
      <c r="P18" s="76" t="s">
        <v>60</v>
      </c>
      <c r="Q18" s="76" t="s">
        <v>60</v>
      </c>
      <c r="R18" s="76">
        <v>0</v>
      </c>
    </row>
    <row r="19" spans="1:18" s="69" customFormat="1">
      <c r="A19" s="70"/>
      <c r="B19" s="70" t="s">
        <v>109</v>
      </c>
      <c r="C19" s="70"/>
      <c r="D19" s="70">
        <f t="shared" ref="D19:R19" si="4">+D18</f>
        <v>0</v>
      </c>
      <c r="E19" s="70">
        <f t="shared" si="4"/>
        <v>0</v>
      </c>
      <c r="F19" s="70">
        <f t="shared" si="4"/>
        <v>0</v>
      </c>
      <c r="G19" s="70">
        <f t="shared" si="4"/>
        <v>0</v>
      </c>
      <c r="H19" s="70">
        <f t="shared" si="4"/>
        <v>0</v>
      </c>
      <c r="I19" s="80">
        <f t="shared" si="4"/>
        <v>0</v>
      </c>
      <c r="J19" s="70">
        <f t="shared" si="4"/>
        <v>0</v>
      </c>
      <c r="K19" s="80">
        <f t="shared" si="2"/>
        <v>0</v>
      </c>
      <c r="L19" s="70">
        <f t="shared" si="4"/>
        <v>0</v>
      </c>
      <c r="M19" s="80">
        <f>+M23</f>
        <v>2.828737063451705E-4</v>
      </c>
      <c r="N19" s="70">
        <f t="shared" si="4"/>
        <v>0</v>
      </c>
      <c r="O19" s="80">
        <f t="shared" si="4"/>
        <v>0</v>
      </c>
      <c r="P19" s="70" t="str">
        <f t="shared" si="4"/>
        <v>NA</v>
      </c>
      <c r="Q19" s="70" t="str">
        <f t="shared" si="4"/>
        <v>NA</v>
      </c>
      <c r="R19" s="70">
        <f t="shared" si="4"/>
        <v>0</v>
      </c>
    </row>
    <row r="20" spans="1:18">
      <c r="A20" s="75" t="s">
        <v>110</v>
      </c>
      <c r="B20" s="76" t="s">
        <v>111</v>
      </c>
      <c r="C20" s="76"/>
      <c r="D20" s="76"/>
      <c r="E20" s="76"/>
      <c r="F20" s="76"/>
      <c r="G20" s="76"/>
      <c r="H20" s="76"/>
      <c r="I20" s="76"/>
      <c r="J20" s="76"/>
      <c r="K20" s="76">
        <f t="shared" si="2"/>
        <v>0</v>
      </c>
      <c r="L20" s="76"/>
      <c r="M20" s="76"/>
      <c r="N20" s="76"/>
      <c r="O20" s="76"/>
      <c r="P20" s="76"/>
      <c r="Q20" s="76"/>
      <c r="R20" s="76"/>
    </row>
    <row r="21" spans="1:18" ht="30">
      <c r="A21" s="82" t="s">
        <v>75</v>
      </c>
      <c r="B21" s="81" t="s">
        <v>112</v>
      </c>
      <c r="C21" s="76"/>
      <c r="D21" s="76">
        <v>34438</v>
      </c>
      <c r="E21" s="76">
        <v>12501641</v>
      </c>
      <c r="F21" s="76">
        <v>0</v>
      </c>
      <c r="G21" s="76">
        <v>0</v>
      </c>
      <c r="H21" s="76">
        <v>12501641</v>
      </c>
      <c r="I21" s="79">
        <f>SUM(H21/141405861*100)</f>
        <v>8.8409638126668586</v>
      </c>
      <c r="J21" s="76">
        <v>12501641</v>
      </c>
      <c r="K21" s="79">
        <f t="shared" si="2"/>
        <v>8.8409638126668586</v>
      </c>
      <c r="L21" s="76">
        <v>0</v>
      </c>
      <c r="M21" s="79">
        <f>SUM((H21+L21)/141405861*100)</f>
        <v>8.8409638126668586</v>
      </c>
      <c r="N21" s="76">
        <v>0</v>
      </c>
      <c r="O21" s="79">
        <v>0</v>
      </c>
      <c r="P21" s="76" t="s">
        <v>60</v>
      </c>
      <c r="Q21" s="76" t="s">
        <v>60</v>
      </c>
      <c r="R21" s="76">
        <v>11730583</v>
      </c>
    </row>
    <row r="22" spans="1:18" ht="30">
      <c r="A22" s="78"/>
      <c r="B22" s="81" t="s">
        <v>113</v>
      </c>
      <c r="C22" s="76"/>
      <c r="D22" s="76">
        <v>109</v>
      </c>
      <c r="E22" s="76">
        <v>7842677</v>
      </c>
      <c r="F22" s="76">
        <v>0</v>
      </c>
      <c r="G22" s="76">
        <v>0</v>
      </c>
      <c r="H22" s="76">
        <v>7842677</v>
      </c>
      <c r="I22" s="79">
        <f>SUM(H22/141405861*100)</f>
        <v>5.5462177766450571</v>
      </c>
      <c r="J22" s="76">
        <v>7842677</v>
      </c>
      <c r="K22" s="79">
        <f t="shared" si="2"/>
        <v>5.5462177766450571</v>
      </c>
      <c r="L22" s="76">
        <v>0</v>
      </c>
      <c r="M22" s="79">
        <f>SUM((H22+L22)/141405861*100)</f>
        <v>5.5462177766450571</v>
      </c>
      <c r="N22" s="76">
        <v>0</v>
      </c>
      <c r="O22" s="79">
        <v>0</v>
      </c>
      <c r="P22" s="76" t="s">
        <v>60</v>
      </c>
      <c r="Q22" s="76" t="s">
        <v>60</v>
      </c>
      <c r="R22" s="76">
        <v>7842677</v>
      </c>
    </row>
    <row r="23" spans="1:18">
      <c r="A23" s="78" t="s">
        <v>77</v>
      </c>
      <c r="B23" s="76" t="s">
        <v>114</v>
      </c>
      <c r="C23" s="76"/>
      <c r="D23" s="34">
        <v>1</v>
      </c>
      <c r="E23" s="34">
        <v>400</v>
      </c>
      <c r="F23" s="76">
        <v>0</v>
      </c>
      <c r="G23" s="76">
        <v>0</v>
      </c>
      <c r="H23" s="76">
        <v>400</v>
      </c>
      <c r="I23" s="79">
        <f>SUM(H23/141405861*100)</f>
        <v>2.828737063451705E-4</v>
      </c>
      <c r="J23" s="76">
        <v>400</v>
      </c>
      <c r="K23" s="79">
        <f t="shared" si="2"/>
        <v>2.828737063451705E-4</v>
      </c>
      <c r="L23" s="76">
        <v>0</v>
      </c>
      <c r="M23" s="79">
        <f>SUM((H23+L23)/141405861*100)</f>
        <v>2.828737063451705E-4</v>
      </c>
      <c r="N23" s="76">
        <v>0</v>
      </c>
      <c r="O23" s="79">
        <v>0</v>
      </c>
      <c r="P23" s="76" t="s">
        <v>60</v>
      </c>
      <c r="Q23" s="76" t="s">
        <v>60</v>
      </c>
      <c r="R23" s="76">
        <v>400</v>
      </c>
    </row>
    <row r="24" spans="1:18">
      <c r="A24" s="78" t="s">
        <v>79</v>
      </c>
      <c r="B24" s="76" t="s">
        <v>115</v>
      </c>
      <c r="C24" s="76"/>
      <c r="D24" s="34">
        <v>0</v>
      </c>
      <c r="E24" s="34">
        <v>0</v>
      </c>
      <c r="F24" s="76">
        <v>0</v>
      </c>
      <c r="G24" s="76">
        <v>0</v>
      </c>
      <c r="H24" s="76">
        <v>0</v>
      </c>
      <c r="I24" s="79">
        <f>SUM(H24/141405861*100)</f>
        <v>0</v>
      </c>
      <c r="J24" s="76">
        <v>0</v>
      </c>
      <c r="K24" s="79">
        <f t="shared" si="2"/>
        <v>0</v>
      </c>
      <c r="L24" s="76">
        <v>0</v>
      </c>
      <c r="M24" s="79">
        <f>SUM((H24+L24)/141405861*100)</f>
        <v>0</v>
      </c>
      <c r="N24" s="76">
        <v>0</v>
      </c>
      <c r="O24" s="79">
        <v>0</v>
      </c>
      <c r="P24" s="76" t="s">
        <v>60</v>
      </c>
      <c r="Q24" s="76" t="s">
        <v>60</v>
      </c>
      <c r="R24" s="76">
        <v>0</v>
      </c>
    </row>
    <row r="25" spans="1:18" ht="30">
      <c r="A25" s="78" t="s">
        <v>81</v>
      </c>
      <c r="B25" s="81" t="s">
        <v>116</v>
      </c>
      <c r="C25" s="76"/>
      <c r="D25" s="34">
        <v>0</v>
      </c>
      <c r="E25" s="34">
        <v>0</v>
      </c>
      <c r="F25" s="76">
        <v>0</v>
      </c>
      <c r="G25" s="76">
        <v>0</v>
      </c>
      <c r="H25" s="76">
        <v>0</v>
      </c>
      <c r="I25" s="79">
        <f>SUM(H25/141405861*100)</f>
        <v>0</v>
      </c>
      <c r="J25" s="76">
        <v>0</v>
      </c>
      <c r="K25" s="79">
        <f t="shared" si="2"/>
        <v>0</v>
      </c>
      <c r="L25" s="76">
        <v>0</v>
      </c>
      <c r="M25" s="79">
        <f>SUM((H25+L25)/141405861*100)</f>
        <v>0</v>
      </c>
      <c r="N25" s="76">
        <v>0</v>
      </c>
      <c r="O25" s="79">
        <v>0</v>
      </c>
      <c r="P25" s="76" t="s">
        <v>60</v>
      </c>
      <c r="Q25" s="76" t="s">
        <v>60</v>
      </c>
      <c r="R25" s="76">
        <v>0</v>
      </c>
    </row>
    <row r="26" spans="1:18">
      <c r="A26" s="78" t="s">
        <v>90</v>
      </c>
      <c r="B26" s="76" t="s">
        <v>82</v>
      </c>
      <c r="C26" s="76"/>
      <c r="D26" s="34"/>
      <c r="E26" s="34"/>
      <c r="F26" s="76"/>
      <c r="G26" s="76"/>
      <c r="H26" s="76"/>
      <c r="I26" s="76"/>
      <c r="J26" s="76"/>
      <c r="K26" s="76">
        <f t="shared" si="2"/>
        <v>0</v>
      </c>
      <c r="L26" s="76"/>
      <c r="M26" s="76"/>
      <c r="N26" s="76"/>
      <c r="O26" s="76"/>
      <c r="P26" s="76"/>
      <c r="Q26" s="76"/>
      <c r="R26" s="76"/>
    </row>
    <row r="27" spans="1:18">
      <c r="A27" s="76"/>
      <c r="B27" s="76" t="s">
        <v>117</v>
      </c>
      <c r="C27" s="76"/>
      <c r="D27" s="34">
        <v>7</v>
      </c>
      <c r="E27" s="34">
        <v>5575</v>
      </c>
      <c r="F27" s="76">
        <v>0</v>
      </c>
      <c r="G27" s="76">
        <v>0</v>
      </c>
      <c r="H27" s="76">
        <v>5575</v>
      </c>
      <c r="I27" s="79">
        <f t="shared" ref="I27:I35" si="5">SUM(H27/141405861*100)</f>
        <v>3.942552282185814E-3</v>
      </c>
      <c r="J27" s="76">
        <v>5575</v>
      </c>
      <c r="K27" s="79">
        <f t="shared" si="2"/>
        <v>3.942552282185814E-3</v>
      </c>
      <c r="L27" s="76">
        <v>0</v>
      </c>
      <c r="M27" s="79">
        <f t="shared" ref="M27:M35" si="6">SUM((H27+L27)/141405861*100)</f>
        <v>3.942552282185814E-3</v>
      </c>
      <c r="N27" s="76">
        <v>0</v>
      </c>
      <c r="O27" s="79">
        <v>0</v>
      </c>
      <c r="P27" s="76" t="s">
        <v>60</v>
      </c>
      <c r="Q27" s="76" t="s">
        <v>60</v>
      </c>
      <c r="R27" s="76">
        <v>5575</v>
      </c>
    </row>
    <row r="28" spans="1:18">
      <c r="A28" s="76"/>
      <c r="B28" s="76" t="s">
        <v>214</v>
      </c>
      <c r="C28" s="76"/>
      <c r="D28" s="34">
        <v>12</v>
      </c>
      <c r="E28" s="34">
        <v>2260152</v>
      </c>
      <c r="F28" s="76">
        <v>0</v>
      </c>
      <c r="G28" s="76">
        <v>0</v>
      </c>
      <c r="H28" s="76">
        <v>2260152</v>
      </c>
      <c r="I28" s="79">
        <f t="shared" si="5"/>
        <v>1.5983439328586246</v>
      </c>
      <c r="J28" s="76">
        <v>2260152</v>
      </c>
      <c r="K28" s="79">
        <f t="shared" si="2"/>
        <v>1.5983439328586246</v>
      </c>
      <c r="L28" s="76">
        <v>0</v>
      </c>
      <c r="M28" s="79">
        <f t="shared" si="6"/>
        <v>1.5983439328586246</v>
      </c>
      <c r="N28" s="76">
        <v>0</v>
      </c>
      <c r="O28" s="79">
        <v>0</v>
      </c>
      <c r="P28" s="76" t="s">
        <v>60</v>
      </c>
      <c r="Q28" s="76" t="s">
        <v>60</v>
      </c>
      <c r="R28" s="76">
        <v>2260152</v>
      </c>
    </row>
    <row r="29" spans="1:18">
      <c r="A29" s="76"/>
      <c r="B29" s="76" t="s">
        <v>118</v>
      </c>
      <c r="C29" s="76"/>
      <c r="D29" s="34">
        <v>2</v>
      </c>
      <c r="E29" s="34">
        <v>1340</v>
      </c>
      <c r="F29" s="76">
        <v>0</v>
      </c>
      <c r="G29" s="76">
        <v>0</v>
      </c>
      <c r="H29" s="76">
        <v>1340</v>
      </c>
      <c r="I29" s="79">
        <f t="shared" si="5"/>
        <v>9.4762691625632116E-4</v>
      </c>
      <c r="J29" s="76">
        <v>1340</v>
      </c>
      <c r="K29" s="79">
        <f t="shared" si="2"/>
        <v>9.4762691625632116E-4</v>
      </c>
      <c r="L29" s="76">
        <v>0</v>
      </c>
      <c r="M29" s="79">
        <f t="shared" si="6"/>
        <v>9.4762691625632116E-4</v>
      </c>
      <c r="N29" s="76">
        <v>0</v>
      </c>
      <c r="O29" s="79">
        <v>0</v>
      </c>
      <c r="P29" s="76" t="s">
        <v>60</v>
      </c>
      <c r="Q29" s="76" t="s">
        <v>60</v>
      </c>
      <c r="R29" s="76">
        <v>0</v>
      </c>
    </row>
    <row r="30" spans="1:18">
      <c r="A30" s="76"/>
      <c r="B30" s="76" t="s">
        <v>119</v>
      </c>
      <c r="C30" s="76"/>
      <c r="D30" s="34">
        <v>13</v>
      </c>
      <c r="E30" s="34">
        <v>1014</v>
      </c>
      <c r="F30" s="76">
        <v>0</v>
      </c>
      <c r="G30" s="76">
        <v>0</v>
      </c>
      <c r="H30" s="76">
        <v>1014</v>
      </c>
      <c r="I30" s="79">
        <f t="shared" si="5"/>
        <v>7.1708484558500717E-4</v>
      </c>
      <c r="J30" s="76">
        <v>1014</v>
      </c>
      <c r="K30" s="79">
        <f t="shared" si="2"/>
        <v>7.1708484558500717E-4</v>
      </c>
      <c r="L30" s="76">
        <v>0</v>
      </c>
      <c r="M30" s="79">
        <f t="shared" si="6"/>
        <v>7.1708484558500717E-4</v>
      </c>
      <c r="N30" s="76">
        <v>0</v>
      </c>
      <c r="O30" s="79">
        <v>0</v>
      </c>
      <c r="P30" s="76" t="s">
        <v>60</v>
      </c>
      <c r="Q30" s="76" t="s">
        <v>60</v>
      </c>
      <c r="R30" s="76">
        <v>0</v>
      </c>
    </row>
    <row r="31" spans="1:18">
      <c r="A31" s="76"/>
      <c r="B31" s="76" t="s">
        <v>120</v>
      </c>
      <c r="C31" s="76"/>
      <c r="D31" s="34">
        <v>200</v>
      </c>
      <c r="E31" s="34">
        <v>594634</v>
      </c>
      <c r="F31" s="76">
        <v>0</v>
      </c>
      <c r="G31" s="76">
        <v>0</v>
      </c>
      <c r="H31" s="76">
        <v>594634</v>
      </c>
      <c r="I31" s="79">
        <f t="shared" si="5"/>
        <v>0.42051580874713529</v>
      </c>
      <c r="J31" s="76">
        <v>594634</v>
      </c>
      <c r="K31" s="79">
        <f t="shared" si="2"/>
        <v>0.42051580874713529</v>
      </c>
      <c r="L31" s="76">
        <v>0</v>
      </c>
      <c r="M31" s="79">
        <f t="shared" si="6"/>
        <v>0.42051580874713529</v>
      </c>
      <c r="N31" s="76">
        <v>0</v>
      </c>
      <c r="O31" s="79">
        <v>0</v>
      </c>
      <c r="P31" s="76" t="s">
        <v>60</v>
      </c>
      <c r="Q31" s="76" t="s">
        <v>60</v>
      </c>
      <c r="R31" s="76">
        <v>594634</v>
      </c>
    </row>
    <row r="32" spans="1:18">
      <c r="A32" s="76"/>
      <c r="B32" s="76" t="s">
        <v>121</v>
      </c>
      <c r="C32" s="76"/>
      <c r="D32" s="34">
        <v>45</v>
      </c>
      <c r="E32" s="34">
        <v>22908</v>
      </c>
      <c r="F32" s="76">
        <v>0</v>
      </c>
      <c r="G32" s="76">
        <v>0</v>
      </c>
      <c r="H32" s="76">
        <v>22908</v>
      </c>
      <c r="I32" s="79">
        <f t="shared" si="5"/>
        <v>1.6200177162387915E-2</v>
      </c>
      <c r="J32" s="76">
        <v>22908</v>
      </c>
      <c r="K32" s="79">
        <f t="shared" si="2"/>
        <v>1.6200177162387915E-2</v>
      </c>
      <c r="L32" s="76">
        <v>0</v>
      </c>
      <c r="M32" s="79">
        <f t="shared" si="6"/>
        <v>1.6200177162387915E-2</v>
      </c>
      <c r="N32" s="76">
        <v>0</v>
      </c>
      <c r="O32" s="79">
        <v>0</v>
      </c>
      <c r="P32" s="76" t="s">
        <v>60</v>
      </c>
      <c r="Q32" s="76" t="s">
        <v>60</v>
      </c>
      <c r="R32" s="76">
        <v>22908</v>
      </c>
    </row>
    <row r="33" spans="1:18">
      <c r="A33" s="76"/>
      <c r="B33" s="76" t="s">
        <v>122</v>
      </c>
      <c r="C33" s="76"/>
      <c r="D33" s="34">
        <v>8</v>
      </c>
      <c r="E33" s="34">
        <v>597</v>
      </c>
      <c r="F33" s="76">
        <v>0</v>
      </c>
      <c r="G33" s="76">
        <v>0</v>
      </c>
      <c r="H33" s="76">
        <v>597</v>
      </c>
      <c r="I33" s="79">
        <f t="shared" si="5"/>
        <v>4.2218900672016696E-4</v>
      </c>
      <c r="J33" s="76">
        <v>597</v>
      </c>
      <c r="K33" s="79">
        <f t="shared" si="2"/>
        <v>4.2218900672016696E-4</v>
      </c>
      <c r="L33" s="76">
        <v>0</v>
      </c>
      <c r="M33" s="79">
        <f t="shared" si="6"/>
        <v>4.2218900672016696E-4</v>
      </c>
      <c r="N33" s="76">
        <v>0</v>
      </c>
      <c r="O33" s="79">
        <v>0</v>
      </c>
      <c r="P33" s="76" t="s">
        <v>60</v>
      </c>
      <c r="Q33" s="76" t="s">
        <v>60</v>
      </c>
      <c r="R33" s="76">
        <v>0</v>
      </c>
    </row>
    <row r="34" spans="1:18">
      <c r="A34" s="76"/>
      <c r="B34" s="76" t="s">
        <v>123</v>
      </c>
      <c r="C34" s="76"/>
      <c r="D34" s="34">
        <v>198</v>
      </c>
      <c r="E34" s="76">
        <v>192021</v>
      </c>
      <c r="F34" s="76">
        <v>0</v>
      </c>
      <c r="G34" s="76">
        <v>0</v>
      </c>
      <c r="H34" s="76">
        <v>192021</v>
      </c>
      <c r="I34" s="79">
        <f>SUM(H34/141405861*100)</f>
        <v>0.13579422991526496</v>
      </c>
      <c r="J34" s="76">
        <v>192021</v>
      </c>
      <c r="K34" s="79">
        <f t="shared" si="2"/>
        <v>0.13579422991526496</v>
      </c>
      <c r="L34" s="76">
        <v>0</v>
      </c>
      <c r="M34" s="79">
        <f t="shared" si="6"/>
        <v>0.13579422991526496</v>
      </c>
      <c r="N34" s="76">
        <v>0</v>
      </c>
      <c r="O34" s="79">
        <v>0</v>
      </c>
      <c r="P34" s="76" t="s">
        <v>60</v>
      </c>
      <c r="Q34" s="76" t="s">
        <v>60</v>
      </c>
      <c r="R34" s="76">
        <v>191973</v>
      </c>
    </row>
    <row r="35" spans="1:18">
      <c r="A35" s="76"/>
      <c r="B35" s="76" t="s">
        <v>124</v>
      </c>
      <c r="C35" s="76"/>
      <c r="D35" s="34">
        <v>270</v>
      </c>
      <c r="E35" s="34">
        <v>7075694</v>
      </c>
      <c r="F35" s="76">
        <v>0</v>
      </c>
      <c r="G35" s="76">
        <v>0</v>
      </c>
      <c r="H35" s="76">
        <v>7075694</v>
      </c>
      <c r="I35" s="79">
        <f t="shared" si="5"/>
        <v>5.0038194668607119</v>
      </c>
      <c r="J35" s="76">
        <v>7075694</v>
      </c>
      <c r="K35" s="79">
        <f>J35/141405861*100</f>
        <v>5.0038194668607119</v>
      </c>
      <c r="L35" s="76">
        <v>0</v>
      </c>
      <c r="M35" s="79">
        <f t="shared" si="6"/>
        <v>5.0038194668607119</v>
      </c>
      <c r="N35" s="76">
        <v>0</v>
      </c>
      <c r="O35" s="79">
        <v>0</v>
      </c>
      <c r="P35" s="76" t="s">
        <v>60</v>
      </c>
      <c r="Q35" s="76" t="s">
        <v>60</v>
      </c>
      <c r="R35" s="76">
        <v>6677013</v>
      </c>
    </row>
    <row r="36" spans="1:18">
      <c r="A36" s="76"/>
      <c r="B36" s="76" t="s">
        <v>228</v>
      </c>
      <c r="C36" s="76"/>
      <c r="D36" s="76">
        <v>1</v>
      </c>
      <c r="E36" s="76">
        <v>415455</v>
      </c>
      <c r="F36" s="76">
        <v>0</v>
      </c>
      <c r="G36" s="76">
        <v>0</v>
      </c>
      <c r="H36" s="76">
        <v>415455</v>
      </c>
      <c r="I36" s="79">
        <f>SUM(H36/141405861*100)</f>
        <v>0.29380323917408202</v>
      </c>
      <c r="J36" s="76">
        <v>415455</v>
      </c>
      <c r="K36" s="79">
        <f>J36/141405861*100</f>
        <v>0.29380323917408202</v>
      </c>
      <c r="L36" s="76">
        <v>0</v>
      </c>
      <c r="M36" s="79">
        <f>SUM((H36+L36)/141405861*100)</f>
        <v>0.29380323917408202</v>
      </c>
      <c r="N36" s="76">
        <v>0</v>
      </c>
      <c r="O36" s="79">
        <v>0</v>
      </c>
      <c r="P36" s="76" t="s">
        <v>60</v>
      </c>
      <c r="Q36" s="76" t="s">
        <v>60</v>
      </c>
      <c r="R36" s="76">
        <v>415455</v>
      </c>
    </row>
    <row r="37" spans="1:18" s="69" customFormat="1">
      <c r="A37" s="70"/>
      <c r="B37" s="70" t="s">
        <v>125</v>
      </c>
      <c r="C37" s="70"/>
      <c r="D37" s="70">
        <f>SUM(D21:D36)</f>
        <v>35304</v>
      </c>
      <c r="E37" s="70">
        <f>SUM(E21:E36)</f>
        <v>30914108</v>
      </c>
      <c r="F37" s="70">
        <f>SUM(F21:F35)</f>
        <v>0</v>
      </c>
      <c r="G37" s="70">
        <f>SUM(G21:G35)</f>
        <v>0</v>
      </c>
      <c r="H37" s="70">
        <f>SUM(H21:H36)</f>
        <v>30914108</v>
      </c>
      <c r="I37" s="80">
        <f>SUM(I21:I36)</f>
        <v>21.861970770787217</v>
      </c>
      <c r="J37" s="70">
        <f>SUM(J21:J36)</f>
        <v>30914108</v>
      </c>
      <c r="K37" s="80">
        <f>J37/141405861*100</f>
        <v>21.861970770787217</v>
      </c>
      <c r="L37" s="70">
        <f>SUM(L21:L35)</f>
        <v>0</v>
      </c>
      <c r="M37" s="80">
        <f>SUM(M21:M36)</f>
        <v>21.861970770787217</v>
      </c>
      <c r="N37" s="70">
        <f>SUM(N21:N35)</f>
        <v>0</v>
      </c>
      <c r="O37" s="80">
        <f>SUM(O21:O35)</f>
        <v>0</v>
      </c>
      <c r="P37" s="70" t="e">
        <f>+#REF!</f>
        <v>#REF!</v>
      </c>
      <c r="Q37" s="70" t="e">
        <f>+#REF!</f>
        <v>#REF!</v>
      </c>
      <c r="R37" s="70">
        <f>SUM(R21:R36)</f>
        <v>29741370</v>
      </c>
    </row>
    <row r="38" spans="1:18" s="69" customFormat="1" ht="30">
      <c r="A38" s="70"/>
      <c r="B38" s="72" t="s">
        <v>126</v>
      </c>
      <c r="C38" s="70"/>
      <c r="D38" s="70">
        <f t="shared" ref="D38:J38" si="7">+D17+D19+D37</f>
        <v>35325</v>
      </c>
      <c r="E38" s="70">
        <f t="shared" si="7"/>
        <v>36268893</v>
      </c>
      <c r="F38" s="70">
        <f t="shared" si="7"/>
        <v>0</v>
      </c>
      <c r="G38" s="70">
        <f t="shared" si="7"/>
        <v>0</v>
      </c>
      <c r="H38" s="70">
        <f t="shared" si="7"/>
        <v>36268893</v>
      </c>
      <c r="I38" s="80">
        <f t="shared" si="7"/>
        <v>25.648790469866025</v>
      </c>
      <c r="J38" s="70">
        <f t="shared" si="7"/>
        <v>36268893</v>
      </c>
      <c r="K38" s="80">
        <f>J38/141405861*100</f>
        <v>25.648790469866029</v>
      </c>
      <c r="L38" s="70">
        <f>+L17+L19+L37</f>
        <v>0</v>
      </c>
      <c r="M38" s="80">
        <f>+M17+M19+M37</f>
        <v>25.649073343572372</v>
      </c>
      <c r="N38" s="70">
        <f>+N17+N19+N37</f>
        <v>0</v>
      </c>
      <c r="O38" s="80">
        <f>+O17+O19+O37</f>
        <v>0</v>
      </c>
      <c r="P38" s="70" t="e">
        <f>+P37</f>
        <v>#REF!</v>
      </c>
      <c r="Q38" s="70" t="e">
        <f>+Q37</f>
        <v>#REF!</v>
      </c>
      <c r="R38" s="70">
        <f>+R17+R19+R37</f>
        <v>35094029</v>
      </c>
    </row>
  </sheetData>
  <mergeCells count="6">
    <mergeCell ref="J3:K3"/>
    <mergeCell ref="N3:O3"/>
    <mergeCell ref="P3:Q3"/>
    <mergeCell ref="J6:K6"/>
    <mergeCell ref="N6:O6"/>
    <mergeCell ref="P6:Q6"/>
  </mergeCells>
  <pageMargins left="0.27559055118110198" right="0.196850393700787" top="0.78740157480314998" bottom="0.74803149606299202" header="0.43307086614173201" footer="0.31496062992126"/>
  <pageSetup paperSize="9" scale="48" orientation="landscape" r:id="rId1"/>
  <headerFooter differentFirst="1">
    <oddHeader>&amp;L&amp;"-,Bold"Shareholding Pattern - Regulation 31 - Mukand Ltd.&amp;C&amp;"-,Bold"Scrip Code (BSE)- 500460Scrip Name (NSE)- MUKANDLTD&amp;R&amp;"-,Bold"Qtr Ended - 31st Dec, 2019</oddHeader>
    <oddFooter>&amp;RPage 5</oddFooter>
    <firstHeader>&amp;L&amp;"-,Bold"Shareholding Pattern - Regulation 31 - Mukand Ltd.&amp;C&amp;"-,Bold"Scrip Code (BSE)- 500460Scrip Name (NSE)- MUKANDLTD&amp;R&amp;"-,Bold"Qtr Ended - 31st Dec, 2019</firstHeader>
    <firstFooter>&amp;RPage 5</firstFooter>
  </headerFooter>
</worksheet>
</file>

<file path=xl/worksheets/sheet5.xml><?xml version="1.0" encoding="utf-8"?>
<worksheet xmlns="http://schemas.openxmlformats.org/spreadsheetml/2006/main" xmlns:r="http://schemas.openxmlformats.org/officeDocument/2006/relationships">
  <dimension ref="A1:T10"/>
  <sheetViews>
    <sheetView zoomScale="70" zoomScaleNormal="70" zoomScalePageLayoutView="70" workbookViewId="0">
      <selection activeCell="T11" sqref="A1:T11"/>
    </sheetView>
  </sheetViews>
  <sheetFormatPr defaultRowHeight="15"/>
  <cols>
    <col min="1" max="1" width="8.85546875" customWidth="1"/>
    <col min="2" max="2" width="41" customWidth="1"/>
    <col min="3" max="3" width="12.7109375" customWidth="1"/>
    <col min="4" max="4" width="11.85546875" customWidth="1"/>
    <col min="5" max="5" width="14.42578125" customWidth="1"/>
    <col min="6" max="6" width="14.85546875" customWidth="1"/>
    <col min="7" max="7" width="13.28515625" customWidth="1"/>
    <col min="8" max="8" width="11.85546875" customWidth="1"/>
    <col min="9" max="9" width="12.42578125" customWidth="1"/>
    <col min="10" max="10" width="11.28515625" customWidth="1"/>
    <col min="11" max="11" width="11.5703125" customWidth="1"/>
    <col min="12" max="12" width="11.140625" customWidth="1"/>
    <col min="13" max="13" width="10.28515625" customWidth="1"/>
    <col min="14" max="14" width="17.42578125" customWidth="1"/>
    <col min="15" max="15" width="19.42578125" customWidth="1"/>
    <col min="16" max="17" width="12.7109375" customWidth="1"/>
    <col min="18" max="18" width="10.85546875" customWidth="1"/>
    <col min="19" max="19" width="10.7109375" customWidth="1"/>
    <col min="20" max="20" width="14.28515625" customWidth="1"/>
  </cols>
  <sheetData>
    <row r="1" spans="1:20" s="5" customFormat="1" ht="15.75">
      <c r="A1" s="5" t="s">
        <v>127</v>
      </c>
    </row>
    <row r="3" spans="1:20" s="4" customFormat="1" ht="123" customHeight="1">
      <c r="A3" s="8" t="s">
        <v>20</v>
      </c>
      <c r="B3" s="8" t="s">
        <v>69</v>
      </c>
      <c r="C3" s="8" t="s">
        <v>70</v>
      </c>
      <c r="D3" s="8" t="s">
        <v>23</v>
      </c>
      <c r="E3" s="8" t="s">
        <v>24</v>
      </c>
      <c r="F3" s="8" t="s">
        <v>25</v>
      </c>
      <c r="G3" s="8" t="s">
        <v>26</v>
      </c>
      <c r="H3" s="8" t="s">
        <v>71</v>
      </c>
      <c r="I3" s="8" t="s">
        <v>72</v>
      </c>
      <c r="J3" s="95" t="s">
        <v>29</v>
      </c>
      <c r="K3" s="95"/>
      <c r="L3" s="95"/>
      <c r="M3" s="95"/>
      <c r="N3" s="8" t="s">
        <v>30</v>
      </c>
      <c r="O3" s="8" t="s">
        <v>31</v>
      </c>
      <c r="P3" s="95" t="s">
        <v>32</v>
      </c>
      <c r="Q3" s="95"/>
      <c r="R3" s="95" t="s">
        <v>33</v>
      </c>
      <c r="S3" s="95"/>
      <c r="T3" s="8" t="s">
        <v>34</v>
      </c>
    </row>
    <row r="4" spans="1:20" s="4" customFormat="1" ht="64.5" customHeight="1">
      <c r="A4" s="9"/>
      <c r="B4" s="9"/>
      <c r="C4" s="9"/>
      <c r="D4" s="9"/>
      <c r="E4" s="9"/>
      <c r="F4" s="9"/>
      <c r="G4" s="9"/>
      <c r="H4" s="9"/>
      <c r="I4" s="9"/>
      <c r="J4" s="96" t="s">
        <v>35</v>
      </c>
      <c r="K4" s="96"/>
      <c r="L4" s="96"/>
      <c r="M4" s="6" t="s">
        <v>36</v>
      </c>
      <c r="N4" s="12"/>
      <c r="O4" s="9"/>
      <c r="P4" s="7" t="s">
        <v>37</v>
      </c>
      <c r="Q4" s="6" t="s">
        <v>38</v>
      </c>
      <c r="R4" s="6" t="s">
        <v>37</v>
      </c>
      <c r="S4" s="6" t="s">
        <v>38</v>
      </c>
      <c r="T4" s="9"/>
    </row>
    <row r="5" spans="1:20" s="4" customFormat="1">
      <c r="A5" s="9"/>
      <c r="B5" s="9"/>
      <c r="C5" s="9"/>
      <c r="D5" s="9"/>
      <c r="E5" s="9"/>
      <c r="F5" s="9"/>
      <c r="G5" s="9"/>
      <c r="H5" s="9"/>
      <c r="I5" s="9"/>
      <c r="J5" s="6" t="s">
        <v>39</v>
      </c>
      <c r="K5" s="6" t="s">
        <v>40</v>
      </c>
      <c r="L5" s="6" t="s">
        <v>41</v>
      </c>
      <c r="M5" s="9"/>
      <c r="N5" s="9"/>
      <c r="O5" s="9"/>
      <c r="P5" s="9"/>
      <c r="Q5" s="9"/>
      <c r="R5" s="9"/>
      <c r="S5" s="9"/>
      <c r="T5" s="9"/>
    </row>
    <row r="6" spans="1:20" s="4" customFormat="1">
      <c r="A6" s="13"/>
      <c r="B6" s="13" t="s">
        <v>42</v>
      </c>
      <c r="C6" s="13" t="s">
        <v>43</v>
      </c>
      <c r="D6" s="13" t="s">
        <v>44</v>
      </c>
      <c r="E6" s="13" t="s">
        <v>45</v>
      </c>
      <c r="F6" s="13" t="s">
        <v>46</v>
      </c>
      <c r="G6" s="13" t="s">
        <v>47</v>
      </c>
      <c r="H6" s="13" t="s">
        <v>48</v>
      </c>
      <c r="I6" s="13" t="s">
        <v>49</v>
      </c>
      <c r="J6" s="97" t="s">
        <v>50</v>
      </c>
      <c r="K6" s="97"/>
      <c r="L6" s="97"/>
      <c r="M6" s="97"/>
      <c r="N6" s="13" t="s">
        <v>51</v>
      </c>
      <c r="O6" s="13" t="s">
        <v>52</v>
      </c>
      <c r="P6" s="97" t="s">
        <v>53</v>
      </c>
      <c r="Q6" s="97"/>
      <c r="R6" s="97" t="s">
        <v>54</v>
      </c>
      <c r="S6" s="97"/>
      <c r="T6" s="13" t="s">
        <v>55</v>
      </c>
    </row>
    <row r="7" spans="1:20">
      <c r="A7" s="3" t="s">
        <v>73</v>
      </c>
      <c r="B7" s="2" t="s">
        <v>128</v>
      </c>
      <c r="C7" s="2"/>
      <c r="D7" s="2">
        <v>0</v>
      </c>
      <c r="E7" s="2">
        <v>0</v>
      </c>
      <c r="F7" s="2">
        <v>0</v>
      </c>
      <c r="G7" s="2">
        <v>0</v>
      </c>
      <c r="H7" s="2">
        <v>0</v>
      </c>
      <c r="I7" s="10">
        <f>SUM(H7/141405861*100)</f>
        <v>0</v>
      </c>
      <c r="J7" s="2">
        <v>0</v>
      </c>
      <c r="K7" s="2">
        <v>0</v>
      </c>
      <c r="L7" s="2">
        <f>+J7+K7</f>
        <v>0</v>
      </c>
      <c r="M7" s="10">
        <f>SUM(L7/141405861*100)</f>
        <v>0</v>
      </c>
      <c r="N7" s="2">
        <v>0</v>
      </c>
      <c r="O7" s="10">
        <f>SUM((H7+N7)/141405861*100)</f>
        <v>0</v>
      </c>
      <c r="P7" s="2">
        <v>0</v>
      </c>
      <c r="Q7" s="10">
        <v>0</v>
      </c>
      <c r="R7" s="2" t="s">
        <v>60</v>
      </c>
      <c r="S7" s="2" t="s">
        <v>60</v>
      </c>
      <c r="T7" s="2">
        <v>0</v>
      </c>
    </row>
    <row r="8" spans="1:20" ht="32.25" customHeight="1">
      <c r="A8" s="3" t="s">
        <v>84</v>
      </c>
      <c r="B8" s="15" t="s">
        <v>129</v>
      </c>
      <c r="C8" s="2"/>
      <c r="D8" s="2">
        <v>0</v>
      </c>
      <c r="E8" s="2">
        <v>0</v>
      </c>
      <c r="F8" s="2">
        <v>0</v>
      </c>
      <c r="G8" s="2">
        <v>0</v>
      </c>
      <c r="H8" s="2">
        <v>0</v>
      </c>
      <c r="I8" s="10">
        <f>SUM(H8/141405861*100)</f>
        <v>0</v>
      </c>
      <c r="J8" s="2">
        <v>0</v>
      </c>
      <c r="K8" s="2">
        <v>0</v>
      </c>
      <c r="L8" s="2">
        <f>+J8+K8</f>
        <v>0</v>
      </c>
      <c r="M8" s="10">
        <f>SUM(L8/141405861*100)</f>
        <v>0</v>
      </c>
      <c r="N8" s="2">
        <v>0</v>
      </c>
      <c r="O8" s="10">
        <f>SUM((H8+N8)/141405861*100)</f>
        <v>0</v>
      </c>
      <c r="P8" s="2">
        <v>0</v>
      </c>
      <c r="Q8" s="10">
        <v>0</v>
      </c>
      <c r="R8" s="2" t="s">
        <v>60</v>
      </c>
      <c r="S8" s="2" t="s">
        <v>60</v>
      </c>
      <c r="T8" s="2">
        <v>0</v>
      </c>
    </row>
    <row r="9" spans="1:20">
      <c r="A9" s="2"/>
      <c r="B9" s="2"/>
      <c r="C9" s="2"/>
      <c r="D9" s="2"/>
      <c r="E9" s="2"/>
      <c r="F9" s="2"/>
      <c r="G9" s="2"/>
      <c r="H9" s="2"/>
      <c r="I9" s="2"/>
      <c r="J9" s="2"/>
      <c r="K9" s="2"/>
      <c r="L9" s="2"/>
      <c r="M9" s="2"/>
      <c r="N9" s="2"/>
      <c r="O9" s="2"/>
      <c r="P9" s="2"/>
      <c r="Q9" s="2"/>
      <c r="R9" s="2"/>
      <c r="S9" s="2"/>
      <c r="T9" s="2"/>
    </row>
    <row r="10" spans="1:20" s="4" customFormat="1" ht="30">
      <c r="A10" s="9"/>
      <c r="B10" s="12" t="s">
        <v>130</v>
      </c>
      <c r="C10" s="9"/>
      <c r="D10" s="9">
        <f t="shared" ref="D10:Q10" si="0">+D7+D8</f>
        <v>0</v>
      </c>
      <c r="E10" s="9">
        <f t="shared" si="0"/>
        <v>0</v>
      </c>
      <c r="F10" s="9">
        <f t="shared" si="0"/>
        <v>0</v>
      </c>
      <c r="G10" s="9">
        <f t="shared" si="0"/>
        <v>0</v>
      </c>
      <c r="H10" s="9">
        <f t="shared" si="0"/>
        <v>0</v>
      </c>
      <c r="I10" s="11">
        <f t="shared" si="0"/>
        <v>0</v>
      </c>
      <c r="J10" s="9">
        <f t="shared" si="0"/>
        <v>0</v>
      </c>
      <c r="K10" s="9">
        <f t="shared" si="0"/>
        <v>0</v>
      </c>
      <c r="L10" s="9">
        <f t="shared" si="0"/>
        <v>0</v>
      </c>
      <c r="M10" s="11">
        <f t="shared" si="0"/>
        <v>0</v>
      </c>
      <c r="N10" s="9">
        <f t="shared" si="0"/>
        <v>0</v>
      </c>
      <c r="O10" s="11">
        <f t="shared" si="0"/>
        <v>0</v>
      </c>
      <c r="P10" s="9">
        <f t="shared" si="0"/>
        <v>0</v>
      </c>
      <c r="Q10" s="11">
        <f t="shared" si="0"/>
        <v>0</v>
      </c>
      <c r="R10" s="9"/>
      <c r="S10" s="9"/>
      <c r="T10" s="9">
        <f>+T7+T8</f>
        <v>0</v>
      </c>
    </row>
  </sheetData>
  <mergeCells count="7">
    <mergeCell ref="J3:M3"/>
    <mergeCell ref="P3:Q3"/>
    <mergeCell ref="R3:S3"/>
    <mergeCell ref="J4:L4"/>
    <mergeCell ref="J6:M6"/>
    <mergeCell ref="P6:Q6"/>
    <mergeCell ref="R6:S6"/>
  </mergeCells>
  <pageMargins left="1.38888888888889E-2" right="0.20833333333333301" top="0.83333333333333304" bottom="0.41666666666666702" header="0.3" footer="0.3"/>
  <pageSetup paperSize="9" scale="50" orientation="landscape" r:id="rId1"/>
  <headerFooter>
    <oddHeader>&amp;L&amp;"-,Bold"Shareholding Pattern - Regulation 31 - Mukand Ltd.&amp;C&amp;"-,Bold"Scrip Code (BSE)- 500460Scrip Name (NSE)- MUKANDLTD&amp;R&amp;"-,Bold"Qtr Ended - 31st Dec., 2019</oddHeader>
    <oddFooter>&amp;RPage 6</oddFooter>
  </headerFooter>
</worksheet>
</file>

<file path=xl/worksheets/sheet6.xml><?xml version="1.0" encoding="utf-8"?>
<worksheet xmlns="http://schemas.openxmlformats.org/spreadsheetml/2006/main" xmlns:r="http://schemas.openxmlformats.org/officeDocument/2006/relationships">
  <dimension ref="A1:R12"/>
  <sheetViews>
    <sheetView zoomScale="70" zoomScaleNormal="70" zoomScaleSheetLayoutView="80" zoomScalePageLayoutView="60" workbookViewId="0">
      <selection activeCell="E8" sqref="E8"/>
    </sheetView>
  </sheetViews>
  <sheetFormatPr defaultColWidth="9.140625" defaultRowHeight="15"/>
  <cols>
    <col min="1" max="1" width="10.7109375" style="29" customWidth="1"/>
    <col min="2" max="2" width="41.5703125" style="29" customWidth="1"/>
    <col min="3" max="3" width="15.28515625" style="29" bestFit="1" customWidth="1"/>
    <col min="4" max="8" width="16.7109375" style="29" customWidth="1"/>
    <col min="9" max="9" width="12.7109375" style="29" customWidth="1"/>
    <col min="10" max="10" width="14.28515625" style="29" customWidth="1"/>
    <col min="11" max="11" width="12.7109375" style="29" customWidth="1"/>
    <col min="12" max="13" width="20.7109375" style="29" customWidth="1"/>
    <col min="14" max="14" width="11.28515625" style="29" customWidth="1"/>
    <col min="15" max="15" width="11.140625" style="29" customWidth="1"/>
    <col min="16" max="16" width="11" style="29" customWidth="1"/>
    <col min="17" max="17" width="14.5703125" style="29" customWidth="1"/>
    <col min="18" max="18" width="14" style="29" customWidth="1"/>
    <col min="19" max="16384" width="9.140625" style="29"/>
  </cols>
  <sheetData>
    <row r="1" spans="1:18" s="19" customFormat="1" ht="15.75">
      <c r="A1" s="19" t="s">
        <v>211</v>
      </c>
    </row>
    <row r="3" spans="1:18" s="21" customFormat="1" ht="96.75" customHeight="1">
      <c r="A3" s="20" t="s">
        <v>20</v>
      </c>
      <c r="B3" s="20" t="s">
        <v>69</v>
      </c>
      <c r="C3" s="20" t="s">
        <v>70</v>
      </c>
      <c r="D3" s="20" t="s">
        <v>23</v>
      </c>
      <c r="E3" s="20" t="s">
        <v>24</v>
      </c>
      <c r="F3" s="20" t="s">
        <v>25</v>
      </c>
      <c r="G3" s="20" t="s">
        <v>26</v>
      </c>
      <c r="H3" s="20" t="s">
        <v>71</v>
      </c>
      <c r="I3" s="20" t="s">
        <v>72</v>
      </c>
      <c r="J3" s="98" t="s">
        <v>29</v>
      </c>
      <c r="K3" s="98"/>
      <c r="L3" s="20" t="s">
        <v>30</v>
      </c>
      <c r="M3" s="20" t="s">
        <v>31</v>
      </c>
      <c r="N3" s="98" t="s">
        <v>32</v>
      </c>
      <c r="O3" s="98"/>
      <c r="P3" s="98" t="s">
        <v>33</v>
      </c>
      <c r="Q3" s="98"/>
      <c r="R3" s="20" t="s">
        <v>34</v>
      </c>
    </row>
    <row r="4" spans="1:18" s="21" customFormat="1" ht="67.5" customHeight="1">
      <c r="A4" s="22"/>
      <c r="B4" s="22"/>
      <c r="C4" s="22"/>
      <c r="D4" s="22"/>
      <c r="E4" s="22"/>
      <c r="F4" s="22"/>
      <c r="G4" s="22"/>
      <c r="H4" s="22"/>
      <c r="I4" s="22"/>
      <c r="J4" s="23" t="s">
        <v>35</v>
      </c>
      <c r="K4" s="20" t="s">
        <v>36</v>
      </c>
      <c r="L4" s="24"/>
      <c r="M4" s="22"/>
      <c r="N4" s="25" t="s">
        <v>37</v>
      </c>
      <c r="O4" s="20" t="s">
        <v>38</v>
      </c>
      <c r="P4" s="20" t="s">
        <v>37</v>
      </c>
      <c r="Q4" s="20" t="s">
        <v>38</v>
      </c>
      <c r="R4" s="22"/>
    </row>
    <row r="5" spans="1:18" s="21" customFormat="1" ht="32.25" customHeight="1">
      <c r="A5" s="22"/>
      <c r="B5" s="22"/>
      <c r="C5" s="22"/>
      <c r="D5" s="22"/>
      <c r="E5" s="22"/>
      <c r="F5" s="22"/>
      <c r="G5" s="22"/>
      <c r="H5" s="22"/>
      <c r="I5" s="22"/>
      <c r="J5" s="23" t="s">
        <v>209</v>
      </c>
      <c r="K5" s="22"/>
      <c r="L5" s="22"/>
      <c r="M5" s="22"/>
      <c r="N5" s="22"/>
      <c r="O5" s="22"/>
      <c r="P5" s="22"/>
      <c r="Q5" s="22"/>
      <c r="R5" s="22"/>
    </row>
    <row r="6" spans="1:18" s="21" customFormat="1">
      <c r="A6" s="26"/>
      <c r="B6" s="26" t="s">
        <v>42</v>
      </c>
      <c r="C6" s="26" t="s">
        <v>43</v>
      </c>
      <c r="D6" s="26" t="s">
        <v>44</v>
      </c>
      <c r="E6" s="26" t="s">
        <v>45</v>
      </c>
      <c r="F6" s="26" t="s">
        <v>46</v>
      </c>
      <c r="G6" s="26" t="s">
        <v>47</v>
      </c>
      <c r="H6" s="26" t="s">
        <v>48</v>
      </c>
      <c r="I6" s="26" t="s">
        <v>49</v>
      </c>
      <c r="J6" s="99" t="s">
        <v>50</v>
      </c>
      <c r="K6" s="99"/>
      <c r="L6" s="26" t="s">
        <v>51</v>
      </c>
      <c r="M6" s="26" t="s">
        <v>52</v>
      </c>
      <c r="N6" s="99" t="s">
        <v>53</v>
      </c>
      <c r="O6" s="99"/>
      <c r="P6" s="99" t="s">
        <v>54</v>
      </c>
      <c r="Q6" s="99"/>
      <c r="R6" s="26" t="s">
        <v>55</v>
      </c>
    </row>
    <row r="7" spans="1:18">
      <c r="A7" s="27" t="s">
        <v>73</v>
      </c>
      <c r="B7" s="28" t="s">
        <v>88</v>
      </c>
      <c r="C7" s="28"/>
      <c r="D7" s="28"/>
      <c r="E7" s="28"/>
      <c r="F7" s="28"/>
      <c r="G7" s="28"/>
      <c r="H7" s="28"/>
      <c r="I7" s="28"/>
      <c r="J7" s="28"/>
      <c r="K7" s="28"/>
      <c r="L7" s="28"/>
      <c r="M7" s="28"/>
      <c r="N7" s="28"/>
      <c r="O7" s="28"/>
      <c r="P7" s="28"/>
      <c r="Q7" s="28"/>
      <c r="R7" s="28"/>
    </row>
    <row r="8" spans="1:18">
      <c r="A8" s="30" t="s">
        <v>212</v>
      </c>
      <c r="B8" s="28" t="s">
        <v>101</v>
      </c>
      <c r="C8" s="28" t="s">
        <v>218</v>
      </c>
      <c r="D8" s="28">
        <v>1</v>
      </c>
      <c r="E8" s="28">
        <v>5345785</v>
      </c>
      <c r="F8" s="28">
        <v>0</v>
      </c>
      <c r="G8" s="28">
        <v>0</v>
      </c>
      <c r="H8" s="28">
        <v>5345785</v>
      </c>
      <c r="I8" s="31">
        <f>SUM(H8/141405861*100)</f>
        <v>3.7804550406860433</v>
      </c>
      <c r="J8" s="28">
        <v>5345785</v>
      </c>
      <c r="K8" s="31">
        <f>J8/141405861*100</f>
        <v>3.7804550406860433</v>
      </c>
      <c r="L8" s="28">
        <v>0</v>
      </c>
      <c r="M8" s="31">
        <f>SUM((H8+L8)/141405861*100)</f>
        <v>3.7804550406860433</v>
      </c>
      <c r="N8" s="28">
        <v>0</v>
      </c>
      <c r="O8" s="31">
        <f>SUM(N8/H8*100)</f>
        <v>0</v>
      </c>
      <c r="P8" s="28" t="s">
        <v>60</v>
      </c>
      <c r="Q8" s="28" t="s">
        <v>60</v>
      </c>
      <c r="R8" s="28">
        <v>5345785</v>
      </c>
    </row>
    <row r="9" spans="1:18" ht="30">
      <c r="A9" s="27" t="s">
        <v>84</v>
      </c>
      <c r="B9" s="33" t="s">
        <v>108</v>
      </c>
      <c r="C9" s="28"/>
      <c r="D9" s="28">
        <v>0</v>
      </c>
      <c r="E9" s="28">
        <v>0</v>
      </c>
      <c r="F9" s="28">
        <v>0</v>
      </c>
      <c r="G9" s="28">
        <v>0</v>
      </c>
      <c r="H9" s="28">
        <v>0</v>
      </c>
      <c r="I9" s="31">
        <f>SUM(H9/141405861*100)</f>
        <v>0</v>
      </c>
      <c r="J9" s="28">
        <v>0</v>
      </c>
      <c r="K9" s="31">
        <f>J9/141405861*100</f>
        <v>0</v>
      </c>
      <c r="L9" s="28">
        <v>0</v>
      </c>
      <c r="M9" s="31">
        <f>SUM((H9+L9)/141405861*100)</f>
        <v>0</v>
      </c>
      <c r="N9" s="28">
        <v>0</v>
      </c>
      <c r="O9" s="31">
        <v>0</v>
      </c>
      <c r="P9" s="28" t="s">
        <v>60</v>
      </c>
      <c r="Q9" s="28" t="s">
        <v>60</v>
      </c>
      <c r="R9" s="28">
        <v>0</v>
      </c>
    </row>
    <row r="10" spans="1:18">
      <c r="A10" s="27" t="s">
        <v>110</v>
      </c>
      <c r="B10" s="28" t="s">
        <v>111</v>
      </c>
      <c r="C10" s="28"/>
      <c r="D10" s="28"/>
      <c r="E10" s="28"/>
      <c r="F10" s="28"/>
      <c r="G10" s="28"/>
      <c r="H10" s="28"/>
      <c r="I10" s="28"/>
      <c r="J10" s="28"/>
      <c r="K10" s="28">
        <f>J10/141405861*100</f>
        <v>0</v>
      </c>
      <c r="L10" s="28"/>
      <c r="M10" s="28"/>
      <c r="N10" s="28"/>
      <c r="O10" s="28"/>
      <c r="P10" s="28"/>
      <c r="Q10" s="28"/>
      <c r="R10" s="28"/>
    </row>
    <row r="11" spans="1:18">
      <c r="A11" s="30" t="s">
        <v>212</v>
      </c>
      <c r="B11" s="28" t="s">
        <v>226</v>
      </c>
      <c r="C11" s="28" t="s">
        <v>232</v>
      </c>
      <c r="D11" s="28">
        <v>1</v>
      </c>
      <c r="E11" s="28">
        <v>3579056</v>
      </c>
      <c r="F11" s="28">
        <v>0</v>
      </c>
      <c r="G11" s="28">
        <v>0</v>
      </c>
      <c r="H11" s="28">
        <v>3579056</v>
      </c>
      <c r="I11" s="31">
        <f>SUM(H11/141405861*100)</f>
        <v>2.5310520898423015</v>
      </c>
      <c r="J11" s="28">
        <v>3579056</v>
      </c>
      <c r="K11" s="31">
        <f>J11/141405861*100</f>
        <v>2.5310520898423015</v>
      </c>
      <c r="L11" s="28">
        <v>0</v>
      </c>
      <c r="M11" s="31">
        <f>SUM((H11+L11)/141405861*100)</f>
        <v>2.5310520898423015</v>
      </c>
      <c r="N11" s="28">
        <v>0</v>
      </c>
      <c r="O11" s="31">
        <v>0</v>
      </c>
      <c r="P11" s="28" t="s">
        <v>60</v>
      </c>
      <c r="Q11" s="28" t="s">
        <v>60</v>
      </c>
      <c r="R11" s="28">
        <v>3579056</v>
      </c>
    </row>
    <row r="12" spans="1:18" s="21" customFormat="1">
      <c r="A12" s="22"/>
      <c r="B12" s="24" t="s">
        <v>213</v>
      </c>
      <c r="C12" s="22"/>
      <c r="D12" s="22">
        <f>SUM(D8,D11)</f>
        <v>2</v>
      </c>
      <c r="E12" s="22">
        <f>SUM(E8:E11)</f>
        <v>8924841</v>
      </c>
      <c r="F12" s="22">
        <f>SUM(F8:F11)</f>
        <v>0</v>
      </c>
      <c r="G12" s="22">
        <f>SUM(G8:G11)</f>
        <v>0</v>
      </c>
      <c r="H12" s="22">
        <f>SUM(H8:H11)</f>
        <v>8924841</v>
      </c>
      <c r="I12" s="32">
        <f>(H12/141405861)*100</f>
        <v>6.3115071305283443</v>
      </c>
      <c r="J12" s="22">
        <f>SUM(J8:J11)</f>
        <v>8924841</v>
      </c>
      <c r="K12" s="32">
        <f>J12/141405861*100</f>
        <v>6.3115071305283443</v>
      </c>
      <c r="L12" s="22">
        <f>SUM(L8:L11)</f>
        <v>0</v>
      </c>
      <c r="M12" s="32">
        <f>(J12/141405861)*100</f>
        <v>6.3115071305283443</v>
      </c>
      <c r="N12" s="22">
        <f>SUM(N8:N11)</f>
        <v>0</v>
      </c>
      <c r="O12" s="32">
        <f>SUM(O8:O11)</f>
        <v>0</v>
      </c>
      <c r="P12" s="22" t="s">
        <v>60</v>
      </c>
      <c r="Q12" s="22" t="s">
        <v>60</v>
      </c>
      <c r="R12" s="22">
        <f>SUM(R8:R11)</f>
        <v>8924841</v>
      </c>
    </row>
  </sheetData>
  <mergeCells count="6">
    <mergeCell ref="J3:K3"/>
    <mergeCell ref="N3:O3"/>
    <mergeCell ref="P3:Q3"/>
    <mergeCell ref="J6:K6"/>
    <mergeCell ref="N6:O6"/>
    <mergeCell ref="P6:Q6"/>
  </mergeCells>
  <pageMargins left="0.23622047244094491" right="0.19685039370078741" top="0.78740157480314965" bottom="0.74803149606299213" header="0.43307086614173229" footer="0.31496062992125984"/>
  <pageSetup paperSize="9" scale="48" orientation="landscape" r:id="rId1"/>
  <headerFooter>
    <oddHeader>&amp;L&amp;"-,Bold"Shareholding Pattern - Regulation 31 - Mukand Ltd.&amp;C&amp;"-,Bold"Scrip Code (BSE)- 500460Scrip Name (NSE)- MUKANDLTD&amp;R&amp;"-,Bold"Qtr Ended - 31st Dec. 2019</oddHeader>
    <oddFooter>&amp;RPage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TABLE-I</vt:lpstr>
      <vt:lpstr>TABLE-II</vt:lpstr>
      <vt:lpstr>TABLE-III</vt:lpstr>
      <vt:lpstr>TABLE-IV</vt:lpstr>
      <vt:lpstr>1% and above</vt:lpstr>
      <vt:lpstr>'TABLE-II'!Print_Area</vt:lpstr>
      <vt:lpstr>Summary!Print_Titles</vt:lpstr>
      <vt:lpstr>'TABLE-II'!Print_Titles</vt:lpstr>
      <vt:lpstr>'TABLE-IV'!Print_Titles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mohsin.mohd</dc:creator>
  <cp:lastModifiedBy>Windows User</cp:lastModifiedBy>
  <cp:lastPrinted>2020-01-18T09:38:41Z</cp:lastPrinted>
  <dcterms:created xsi:type="dcterms:W3CDTF">2016-01-08T06:21:03Z</dcterms:created>
  <dcterms:modified xsi:type="dcterms:W3CDTF">2020-10-22T05:27:03Z</dcterms:modified>
</cp:coreProperties>
</file>